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iduNetdiskWorkspace\CodingNow\海绵城市计算第二版\Win32\Debug\"/>
    </mc:Choice>
  </mc:AlternateContent>
  <xr:revisionPtr revIDLastSave="0" documentId="13_ncr:1_{9F4F1CF5-7661-4CA9-B713-87C2E487AE8E}" xr6:coauthVersionLast="47" xr6:coauthVersionMax="47" xr10:uidLastSave="{00000000-0000-0000-0000-000000000000}"/>
  <bookViews>
    <workbookView xWindow="-120" yWindow="-120" windowWidth="29040" windowHeight="15840" xr2:uid="{1B881B53-BC81-4185-AB76-D8F51EA58D8A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K14" i="1" s="1"/>
  <c r="L9" i="1"/>
  <c r="L14" i="1" s="1"/>
  <c r="M9" i="1"/>
  <c r="M14" i="1" s="1"/>
  <c r="N9" i="1"/>
  <c r="N14" i="1" s="1"/>
  <c r="O9" i="1"/>
  <c r="O14" i="1" s="1"/>
  <c r="P9" i="1"/>
  <c r="P14" i="1" s="1"/>
  <c r="J9" i="1"/>
  <c r="J14" i="1" s="1"/>
  <c r="J19" i="1" s="1"/>
  <c r="P25" i="1" s="1"/>
  <c r="I58" i="1" s="1"/>
  <c r="I76" i="1" s="1"/>
  <c r="D28" i="1"/>
  <c r="C24" i="1"/>
  <c r="C25" i="1" s="1"/>
  <c r="C28" i="1" s="1"/>
  <c r="C23" i="1"/>
  <c r="B69" i="1"/>
  <c r="H70" i="1"/>
  <c r="I27" i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L76" i="1" l="1"/>
  <c r="J76" i="1"/>
  <c r="O19" i="1"/>
  <c r="K25" i="1" s="1"/>
  <c r="K60" i="1" s="1"/>
  <c r="I90" i="1" s="1"/>
  <c r="P19" i="1"/>
  <c r="J25" i="1" s="1"/>
  <c r="L19" i="1"/>
  <c r="N25" i="1" s="1"/>
  <c r="M19" i="1"/>
  <c r="M25" i="1" s="1"/>
  <c r="N19" i="1"/>
  <c r="L25" i="1" s="1"/>
  <c r="K19" i="1"/>
  <c r="O25" i="1" s="1"/>
  <c r="L90" i="1" l="1"/>
  <c r="J90" i="1"/>
  <c r="K59" i="1"/>
  <c r="I89" i="1" s="1"/>
  <c r="K58" i="1"/>
  <c r="I88" i="1" s="1"/>
  <c r="K56" i="1"/>
  <c r="I86" i="1" s="1"/>
  <c r="K55" i="1"/>
  <c r="I85" i="1" s="1"/>
  <c r="K57" i="1"/>
  <c r="I87" i="1" s="1"/>
  <c r="I66" i="1"/>
  <c r="I84" i="1" s="1"/>
  <c r="I65" i="1"/>
  <c r="I83" i="1" s="1"/>
  <c r="I64" i="1"/>
  <c r="I82" i="1" s="1"/>
  <c r="I61" i="1"/>
  <c r="I79" i="1" s="1"/>
  <c r="I60" i="1"/>
  <c r="I78" i="1" s="1"/>
  <c r="I56" i="1"/>
  <c r="I74" i="1" s="1"/>
  <c r="I59" i="1"/>
  <c r="I77" i="1" s="1"/>
  <c r="I57" i="1"/>
  <c r="I75" i="1" s="1"/>
  <c r="I63" i="1"/>
  <c r="I81" i="1" s="1"/>
  <c r="I62" i="1"/>
  <c r="I80" i="1" s="1"/>
  <c r="I55" i="1"/>
  <c r="I73" i="1" s="1"/>
  <c r="K62" i="1"/>
  <c r="I92" i="1" s="1"/>
  <c r="K63" i="1"/>
  <c r="I93" i="1" s="1"/>
  <c r="K64" i="1"/>
  <c r="I94" i="1" s="1"/>
  <c r="K65" i="1"/>
  <c r="I95" i="1" s="1"/>
  <c r="K66" i="1"/>
  <c r="I96" i="1" s="1"/>
  <c r="K61" i="1"/>
  <c r="I91" i="1" s="1"/>
  <c r="L74" i="1" l="1"/>
  <c r="J74" i="1"/>
  <c r="L78" i="1"/>
  <c r="J78" i="1"/>
  <c r="J84" i="1"/>
  <c r="L84" i="1"/>
  <c r="J77" i="1"/>
  <c r="L77" i="1"/>
  <c r="J82" i="1"/>
  <c r="L82" i="1"/>
  <c r="L91" i="1"/>
  <c r="J91" i="1"/>
  <c r="L87" i="1"/>
  <c r="J87" i="1"/>
  <c r="J95" i="1"/>
  <c r="L95" i="1"/>
  <c r="L94" i="1"/>
  <c r="J94" i="1"/>
  <c r="L92" i="1"/>
  <c r="J92" i="1"/>
  <c r="J73" i="1"/>
  <c r="L73" i="1"/>
  <c r="M73" i="1" s="1"/>
  <c r="L83" i="1"/>
  <c r="J83" i="1"/>
  <c r="J93" i="1"/>
  <c r="L93" i="1"/>
  <c r="L79" i="1"/>
  <c r="J79" i="1"/>
  <c r="J96" i="1"/>
  <c r="L96" i="1"/>
  <c r="L85" i="1"/>
  <c r="J85" i="1"/>
  <c r="L86" i="1"/>
  <c r="J86" i="1"/>
  <c r="L88" i="1"/>
  <c r="J88" i="1"/>
  <c r="L89" i="1"/>
  <c r="J89" i="1"/>
  <c r="J80" i="1"/>
  <c r="L80" i="1"/>
  <c r="J81" i="1"/>
  <c r="L81" i="1"/>
  <c r="J75" i="1"/>
  <c r="L75" i="1"/>
  <c r="H67" i="1"/>
  <c r="O73" i="1" l="1"/>
  <c r="N73" i="1" s="1"/>
  <c r="M74" i="1"/>
  <c r="C20" i="1"/>
  <c r="K73" i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M75" i="1" l="1"/>
  <c r="O74" i="1"/>
  <c r="N74" i="1" s="1"/>
  <c r="O75" i="1" l="1"/>
  <c r="N75" i="1" s="1"/>
  <c r="M76" i="1"/>
  <c r="O76" i="1" l="1"/>
  <c r="N76" i="1" s="1"/>
  <c r="M77" i="1"/>
  <c r="O77" i="1" l="1"/>
  <c r="N77" i="1" s="1"/>
  <c r="M78" i="1"/>
  <c r="O78" i="1" l="1"/>
  <c r="N78" i="1" s="1"/>
  <c r="M79" i="1"/>
  <c r="O79" i="1" l="1"/>
  <c r="N79" i="1" s="1"/>
  <c r="M80" i="1"/>
  <c r="O80" i="1" l="1"/>
  <c r="N80" i="1" s="1"/>
  <c r="M81" i="1"/>
  <c r="O81" i="1" l="1"/>
  <c r="N81" i="1" s="1"/>
  <c r="M82" i="1"/>
  <c r="O82" i="1" l="1"/>
  <c r="N82" i="1" s="1"/>
  <c r="M83" i="1"/>
  <c r="O83" i="1" l="1"/>
  <c r="N83" i="1" s="1"/>
  <c r="M84" i="1"/>
  <c r="O84" i="1" l="1"/>
  <c r="N84" i="1" s="1"/>
  <c r="M85" i="1"/>
  <c r="O85" i="1" l="1"/>
  <c r="N85" i="1" s="1"/>
  <c r="M86" i="1"/>
  <c r="O86" i="1" l="1"/>
  <c r="N86" i="1" s="1"/>
  <c r="M87" i="1"/>
  <c r="O87" i="1" l="1"/>
  <c r="N87" i="1" s="1"/>
  <c r="M88" i="1"/>
  <c r="O88" i="1" l="1"/>
  <c r="N88" i="1" s="1"/>
  <c r="M89" i="1"/>
  <c r="O89" i="1" l="1"/>
  <c r="N89" i="1" s="1"/>
  <c r="M90" i="1"/>
  <c r="O90" i="1" l="1"/>
  <c r="N90" i="1" s="1"/>
  <c r="M91" i="1"/>
  <c r="O91" i="1" l="1"/>
  <c r="N91" i="1" s="1"/>
  <c r="M92" i="1"/>
  <c r="O92" i="1" l="1"/>
  <c r="N92" i="1" s="1"/>
  <c r="M93" i="1"/>
  <c r="O93" i="1" l="1"/>
  <c r="N93" i="1" s="1"/>
  <c r="M94" i="1"/>
  <c r="O94" i="1" l="1"/>
  <c r="N94" i="1" s="1"/>
  <c r="M95" i="1"/>
  <c r="O95" i="1" l="1"/>
  <c r="N95" i="1" s="1"/>
  <c r="M96" i="1"/>
  <c r="O96" i="1" s="1"/>
  <c r="N96" i="1" l="1"/>
  <c r="C22" i="1" s="1"/>
  <c r="C26" i="1"/>
  <c r="C19" i="1" l="1"/>
  <c r="C21" i="1" s="1"/>
  <c r="C27" i="1"/>
  <c r="B34" i="1" l="1"/>
</calcChain>
</file>

<file path=xl/sharedStrings.xml><?xml version="1.0" encoding="utf-8"?>
<sst xmlns="http://schemas.openxmlformats.org/spreadsheetml/2006/main" count="129" uniqueCount="84">
  <si>
    <t>表6  2h内不同降雨历时降雨强度表</t>
    <phoneticPr fontId="1" type="noConversion"/>
  </si>
  <si>
    <t>降雨历时(min)</t>
    <phoneticPr fontId="1" type="noConversion"/>
  </si>
  <si>
    <t>表7  2h内不同时段降雨厚度</t>
    <phoneticPr fontId="1" type="noConversion"/>
  </si>
  <si>
    <t>降雨厚度Hx(mm)</t>
    <phoneticPr fontId="1" type="noConversion"/>
  </si>
  <si>
    <t>表8 不同降雨区间降雨厚度</t>
    <phoneticPr fontId="1" type="noConversion"/>
  </si>
  <si>
    <r>
      <t>降雨强度[L/(s·hm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)]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</si>
  <si>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120</t>
    </r>
    <r>
      <rPr>
        <sz val="11"/>
        <color theme="1"/>
        <rFont val="等线"/>
        <family val="2"/>
        <charset val="134"/>
        <scheme val="minor"/>
      </rPr>
      <t>-H</t>
    </r>
    <r>
      <rPr>
        <vertAlign val="subscript"/>
        <sz val="11"/>
        <color theme="1"/>
        <rFont val="等线"/>
        <family val="3"/>
        <charset val="134"/>
        <scheme val="minor"/>
      </rPr>
      <t>90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</si>
  <si>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90</t>
    </r>
    <r>
      <rPr>
        <sz val="11"/>
        <color theme="1"/>
        <rFont val="等线"/>
        <family val="2"/>
        <charset val="134"/>
        <scheme val="minor"/>
      </rPr>
      <t>-H</t>
    </r>
    <r>
      <rPr>
        <vertAlign val="subscript"/>
        <sz val="11"/>
        <color theme="1"/>
        <rFont val="等线"/>
        <family val="3"/>
        <charset val="134"/>
        <scheme val="minor"/>
      </rPr>
      <t>60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</si>
  <si>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60</t>
    </r>
    <r>
      <rPr>
        <sz val="11"/>
        <color theme="1"/>
        <rFont val="等线"/>
        <family val="2"/>
        <charset val="134"/>
        <scheme val="minor"/>
      </rPr>
      <t>-H</t>
    </r>
    <r>
      <rPr>
        <vertAlign val="subscript"/>
        <sz val="11"/>
        <color theme="1"/>
        <rFont val="等线"/>
        <family val="3"/>
        <charset val="134"/>
        <scheme val="minor"/>
      </rPr>
      <t>45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</si>
  <si>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45</t>
    </r>
    <r>
      <rPr>
        <sz val="11"/>
        <color theme="1"/>
        <rFont val="等线"/>
        <family val="2"/>
        <charset val="134"/>
        <scheme val="minor"/>
      </rPr>
      <t>-H</t>
    </r>
    <r>
      <rPr>
        <vertAlign val="subscript"/>
        <sz val="11"/>
        <color theme="1"/>
        <rFont val="等线"/>
        <family val="3"/>
        <charset val="134"/>
        <scheme val="minor"/>
      </rPr>
      <t>30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</si>
  <si>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30</t>
    </r>
    <r>
      <rPr>
        <sz val="11"/>
        <color theme="1"/>
        <rFont val="等线"/>
        <family val="2"/>
        <charset val="134"/>
        <scheme val="minor"/>
      </rPr>
      <t>-H</t>
    </r>
    <r>
      <rPr>
        <vertAlign val="subscript"/>
        <sz val="11"/>
        <color theme="1"/>
        <rFont val="等线"/>
        <family val="3"/>
        <charset val="134"/>
        <scheme val="minor"/>
      </rPr>
      <t>15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</si>
  <si>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15</t>
    </r>
    <r>
      <rPr>
        <sz val="11"/>
        <color theme="1"/>
        <rFont val="等线"/>
        <family val="2"/>
        <charset val="134"/>
        <scheme val="minor"/>
      </rPr>
      <t>-H</t>
    </r>
    <r>
      <rPr>
        <vertAlign val="subscript"/>
        <sz val="11"/>
        <color theme="1"/>
        <rFont val="等线"/>
        <family val="3"/>
        <charset val="134"/>
        <scheme val="minor"/>
      </rPr>
      <t>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</si>
  <si>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5</t>
    </r>
    <phoneticPr fontId="1" type="noConversion"/>
  </si>
  <si>
    <t>表9 2h降雨分配表</t>
    <phoneticPr fontId="1" type="noConversion"/>
  </si>
  <si>
    <t>降雨厚度差值(mm)</t>
    <phoneticPr fontId="1" type="noConversion"/>
  </si>
  <si>
    <t>降雨历时</t>
    <phoneticPr fontId="1" type="noConversion"/>
  </si>
  <si>
    <t>min</t>
    <phoneticPr fontId="1" type="noConversion"/>
  </si>
  <si>
    <t>序号</t>
    <phoneticPr fontId="1" type="noConversion"/>
  </si>
  <si>
    <t>表10 5min降雨厚度表</t>
    <phoneticPr fontId="1" type="noConversion"/>
  </si>
  <si>
    <t>降雨厚度</t>
    <phoneticPr fontId="1" type="noConversion"/>
  </si>
  <si>
    <t>mm</t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</si>
  <si>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10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</si>
  <si>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15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</si>
  <si>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20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</si>
  <si>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25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</si>
  <si>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30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</si>
  <si>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35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</si>
  <si>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40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</si>
  <si>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45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</si>
  <si>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50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</si>
  <si>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55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</si>
  <si>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60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</si>
  <si>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65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</si>
  <si>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70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</si>
  <si>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85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</si>
  <si>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90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</si>
  <si>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95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</si>
  <si>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100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</si>
  <si>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105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</si>
  <si>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110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</si>
  <si>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115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</si>
  <si>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75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</si>
  <si>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80</t>
    </r>
    <phoneticPr fontId="1" type="noConversion"/>
  </si>
  <si>
    <r>
      <t>H</t>
    </r>
    <r>
      <rPr>
        <vertAlign val="subscript"/>
        <sz val="11"/>
        <color theme="1"/>
        <rFont val="等线"/>
        <family val="3"/>
        <charset val="134"/>
        <scheme val="minor"/>
      </rPr>
      <t>120</t>
    </r>
    <phoneticPr fontId="1" type="noConversion"/>
  </si>
  <si>
    <t>项目所在区域</t>
    <phoneticPr fontId="1" type="noConversion"/>
  </si>
  <si>
    <t>重现期(年)</t>
    <phoneticPr fontId="1" type="noConversion"/>
  </si>
  <si>
    <r>
      <t>场地占地面积(m</t>
    </r>
    <r>
      <rPr>
        <vertAlign val="superscript"/>
        <sz val="11"/>
        <color theme="1"/>
        <rFont val="等线"/>
        <family val="3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>)</t>
    </r>
    <phoneticPr fontId="1" type="noConversion"/>
  </si>
  <si>
    <t>场地实际综合径流系数(Ψ2)</t>
    <phoneticPr fontId="4" type="noConversion"/>
  </si>
  <si>
    <t>参数</t>
    <phoneticPr fontId="1" type="noConversion"/>
  </si>
  <si>
    <t>北京 I区</t>
  </si>
  <si>
    <t>北京 I区</t>
    <phoneticPr fontId="1" type="noConversion"/>
  </si>
  <si>
    <t>北京 II区</t>
    <phoneticPr fontId="1" type="noConversion"/>
  </si>
  <si>
    <t>历时</t>
    <phoneticPr fontId="4" type="noConversion"/>
  </si>
  <si>
    <t>各时段降雨厚度</t>
    <phoneticPr fontId="4" type="noConversion"/>
  </si>
  <si>
    <t>原场地外排水流量</t>
    <phoneticPr fontId="4" type="noConversion"/>
  </si>
  <si>
    <t>原场地累计外排水量</t>
    <phoneticPr fontId="4" type="noConversion"/>
  </si>
  <si>
    <t>场地实际径流流量</t>
    <phoneticPr fontId="4" type="noConversion"/>
  </si>
  <si>
    <t>场地实际累计径流水量</t>
    <phoneticPr fontId="4" type="noConversion"/>
  </si>
  <si>
    <t>场地实际外排水流量</t>
    <phoneticPr fontId="4" type="noConversion"/>
  </si>
  <si>
    <t>min</t>
    <phoneticPr fontId="4" type="noConversion"/>
  </si>
  <si>
    <t>mm</t>
    <phoneticPr fontId="4" type="noConversion"/>
  </si>
  <si>
    <t>L/s</t>
    <phoneticPr fontId="4" type="noConversion"/>
  </si>
  <si>
    <r>
      <t>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phoneticPr fontId="4" type="noConversion"/>
  </si>
  <si>
    <t>场地实际累计外排水量</t>
    <phoneticPr fontId="4" type="noConversion"/>
  </si>
  <si>
    <r>
      <t>总蓄水空间V3(m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charset val="134"/>
        <scheme val="minor"/>
      </rPr>
      <t>)</t>
    </r>
    <phoneticPr fontId="1" type="noConversion"/>
  </si>
  <si>
    <t>外排水峰值流量(L/s)</t>
    <phoneticPr fontId="1" type="noConversion"/>
  </si>
  <si>
    <t>原场地外排水峰值流量(L/s)</t>
    <phoneticPr fontId="1" type="noConversion"/>
  </si>
  <si>
    <t>削峰率</t>
    <phoneticPr fontId="1" type="noConversion"/>
  </si>
  <si>
    <t>峰值延后(min)</t>
    <phoneticPr fontId="1" type="noConversion"/>
  </si>
  <si>
    <t>计算结果</t>
    <phoneticPr fontId="1" type="noConversion"/>
  </si>
  <si>
    <t>外排雨水流量径流系数</t>
    <phoneticPr fontId="1" type="noConversion"/>
  </si>
  <si>
    <t>不大于0.4</t>
    <phoneticPr fontId="1" type="noConversion"/>
  </si>
  <si>
    <t>年径流总量控制率</t>
    <phoneticPr fontId="1" type="noConversion"/>
  </si>
  <si>
    <r>
      <t>设计降雨控制量(m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charset val="134"/>
        <scheme val="minor"/>
      </rPr>
      <t>)</t>
    </r>
    <phoneticPr fontId="1" type="noConversion"/>
  </si>
  <si>
    <r>
      <t>入渗实现的降雨控制量(m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charset val="134"/>
        <scheme val="minor"/>
      </rPr>
      <t>)</t>
    </r>
    <phoneticPr fontId="1" type="noConversion"/>
  </si>
  <si>
    <r>
      <t>项目总蓄水空间(m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charset val="134"/>
        <scheme val="minor"/>
      </rPr>
      <t>)</t>
    </r>
    <phoneticPr fontId="1" type="noConversion"/>
  </si>
  <si>
    <t>控制率下设计降雨量(mm)</t>
    <phoneticPr fontId="1" type="noConversion"/>
  </si>
  <si>
    <t>实际设计降雨量(mm)</t>
    <phoneticPr fontId="1" type="noConversion"/>
  </si>
  <si>
    <r>
      <t>两小时内外排雨水总量(m</t>
    </r>
    <r>
      <rPr>
        <vertAlign val="superscript"/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2"/>
        <charset val="134"/>
        <scheme val="minor"/>
      </rPr>
      <t>)</t>
    </r>
    <phoneticPr fontId="1" type="noConversion"/>
  </si>
  <si>
    <t>说明：填写黄色部分就行，其他别动</t>
    <phoneticPr fontId="4" type="noConversion"/>
  </si>
  <si>
    <t>访问 http://www.viviFree.com 获取更多软件</t>
    <phoneticPr fontId="4" type="noConversion"/>
  </si>
  <si>
    <t>计算书</t>
    <phoneticPr fontId="1" type="noConversion"/>
  </si>
  <si>
    <r>
      <t>原场地综合径流系数(</t>
    </r>
    <r>
      <rPr>
        <sz val="11"/>
        <color theme="1"/>
        <rFont val="等线"/>
        <family val="3"/>
        <charset val="134"/>
      </rPr>
      <t>Ψ</t>
    </r>
    <r>
      <rPr>
        <sz val="11"/>
        <color theme="1"/>
        <rFont val="等线"/>
        <family val="2"/>
        <charset val="134"/>
      </rPr>
      <t>1</t>
    </r>
    <r>
      <rPr>
        <sz val="11"/>
        <color theme="1"/>
        <rFont val="等线"/>
        <family val="2"/>
        <charset val="134"/>
        <scheme val="minor"/>
      </rPr>
      <t>)</t>
    </r>
    <phoneticPr fontId="4" type="noConversion"/>
  </si>
  <si>
    <t>北京-外排雨水流量径流系数计算V1.01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</si>
</sst>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_);[Red]\(0.0\)"/>
    <numFmt numFmtId="178" formatCode="0.0_ "/>
  </numFmts>
  <fonts count="1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theme="1"/>
      <name val="等线"/>
      <family val="2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u/>
      <sz val="11"/>
      <color theme="10"/>
      <name val="等线"/>
      <family val="2"/>
      <charset val="134"/>
      <scheme val="minor"/>
    </font>
    <font>
      <b/>
      <sz val="14"/>
      <color rgb="FFFF0000"/>
      <name val="等线"/>
      <family val="3"/>
      <charset val="134"/>
      <scheme val="minor"/>
    </font>
    <font>
      <u/>
      <sz val="12"/>
      <color theme="10"/>
      <name val="等线"/>
      <family val="2"/>
      <charset val="134"/>
      <scheme val="minor"/>
    </font>
    <font>
      <u/>
      <sz val="12"/>
      <color theme="10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/>
    <xf numFmtId="0" fontId="0" fillId="2" borderId="1" xfId="0" applyFill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178" fontId="0" fillId="0" borderId="1" xfId="0" applyNumberFormat="1" applyBorder="1" applyAlignment="1">
      <alignment horizontal="center"/>
    </xf>
    <xf numFmtId="0" fontId="0" fillId="0" borderId="5" xfId="0" applyBorder="1">
      <alignment vertical="center"/>
    </xf>
    <xf numFmtId="176" fontId="0" fillId="0" borderId="1" xfId="0" applyNumberFormat="1" applyBorder="1" applyAlignment="1"/>
    <xf numFmtId="10" fontId="0" fillId="0" borderId="1" xfId="0" applyNumberFormat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1" fillId="3" borderId="1" xfId="1" applyFont="1" applyFill="1" applyBorder="1" applyAlignment="1" applyProtection="1">
      <alignment horizontal="center" vertical="center"/>
    </xf>
    <xf numFmtId="0" fontId="12" fillId="3" borderId="1" xfId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Sheet1!$J$71</c:f>
              <c:strCache>
                <c:ptCount val="1"/>
                <c:pt idx="0">
                  <c:v>原场地外排水流量</c:v>
                </c:pt>
              </c:strCache>
            </c:strRef>
          </c:tx>
          <c:cat>
            <c:numRef>
              <c:f>[1]Sheet1!$O$5:$O$28</c:f>
              <c:numCache>
                <c:formatCode>General</c:formatCode>
                <c:ptCount val="2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</c:numCache>
            </c:numRef>
          </c:cat>
          <c:val>
            <c:numRef>
              <c:f>Sheet1!$J$73:$J$96</c:f>
              <c:numCache>
                <c:formatCode>0.00_ </c:formatCode>
                <c:ptCount val="24"/>
                <c:pt idx="0">
                  <c:v>36.484209138509854</c:v>
                </c:pt>
                <c:pt idx="1">
                  <c:v>91.295226549197821</c:v>
                </c:pt>
                <c:pt idx="2">
                  <c:v>156.52232981748136</c:v>
                </c:pt>
                <c:pt idx="3">
                  <c:v>349.22461232106519</c:v>
                </c:pt>
                <c:pt idx="4">
                  <c:v>178.85870686021602</c:v>
                </c:pt>
                <c:pt idx="5">
                  <c:v>79.472161181022557</c:v>
                </c:pt>
                <c:pt idx="6">
                  <c:v>59.253339277080791</c:v>
                </c:pt>
                <c:pt idx="7">
                  <c:v>62.131524473501948</c:v>
                </c:pt>
                <c:pt idx="8">
                  <c:v>25.93380792979772</c:v>
                </c:pt>
                <c:pt idx="9">
                  <c:v>33.477848148083275</c:v>
                </c:pt>
                <c:pt idx="10">
                  <c:v>25.128789480240957</c:v>
                </c:pt>
                <c:pt idx="11">
                  <c:v>23.006839085676923</c:v>
                </c:pt>
                <c:pt idx="12">
                  <c:v>18.444816228396817</c:v>
                </c:pt>
                <c:pt idx="13">
                  <c:v>15.854961894957542</c:v>
                </c:pt>
                <c:pt idx="14">
                  <c:v>20.129274331446755</c:v>
                </c:pt>
                <c:pt idx="15">
                  <c:v>27.498778532290228</c:v>
                </c:pt>
                <c:pt idx="16">
                  <c:v>11.506954416459887</c:v>
                </c:pt>
                <c:pt idx="17">
                  <c:v>11.843846037069875</c:v>
                </c:pt>
                <c:pt idx="18">
                  <c:v>10.959403908810108</c:v>
                </c:pt>
                <c:pt idx="19">
                  <c:v>10.165839081455568</c:v>
                </c:pt>
                <c:pt idx="20">
                  <c:v>11.493007844445057</c:v>
                </c:pt>
                <c:pt idx="21">
                  <c:v>9.4954136238629374</c:v>
                </c:pt>
                <c:pt idx="22">
                  <c:v>13.504284217222938</c:v>
                </c:pt>
                <c:pt idx="23">
                  <c:v>12.79965337914089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3D-4EBC-ABA6-7686AF4A14D7}"/>
            </c:ext>
          </c:extLst>
        </c:ser>
        <c:ser>
          <c:idx val="1"/>
          <c:order val="1"/>
          <c:tx>
            <c:strRef>
              <c:f>Sheet1!$N$71</c:f>
              <c:strCache>
                <c:ptCount val="1"/>
                <c:pt idx="0">
                  <c:v>场地实际外排水流量</c:v>
                </c:pt>
              </c:strCache>
            </c:strRef>
          </c:tx>
          <c:cat>
            <c:numRef>
              <c:f>[1]Sheet1!$O$5:$O$28</c:f>
              <c:numCache>
                <c:formatCode>General</c:formatCode>
                <c:ptCount val="2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</c:numCache>
            </c:numRef>
          </c:cat>
          <c:val>
            <c:numRef>
              <c:f>Sheet1!$N$73:$N$96</c:f>
              <c:numCache>
                <c:formatCode>0.00_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13.578138079963839</c:v>
                </c:pt>
                <c:pt idx="10">
                  <c:v>20.940657900200868</c:v>
                </c:pt>
                <c:pt idx="11">
                  <c:v>19.17236590473086</c:v>
                </c:pt>
                <c:pt idx="12">
                  <c:v>15.370680190330669</c:v>
                </c:pt>
                <c:pt idx="13">
                  <c:v>13.212468245797973</c:v>
                </c:pt>
                <c:pt idx="14">
                  <c:v>16.774395276205684</c:v>
                </c:pt>
                <c:pt idx="15">
                  <c:v>22.915648776908597</c:v>
                </c:pt>
                <c:pt idx="16">
                  <c:v>9.5891286803832063</c:v>
                </c:pt>
                <c:pt idx="17">
                  <c:v>9.8698716975582101</c:v>
                </c:pt>
                <c:pt idx="18">
                  <c:v>9.1328365906751223</c:v>
                </c:pt>
                <c:pt idx="19">
                  <c:v>8.4715325678795743</c:v>
                </c:pt>
                <c:pt idx="20">
                  <c:v>9.5775065370374559</c:v>
                </c:pt>
                <c:pt idx="21">
                  <c:v>7.9128446865524893</c:v>
                </c:pt>
                <c:pt idx="22">
                  <c:v>11.253570181019086</c:v>
                </c:pt>
                <c:pt idx="23">
                  <c:v>10.666377815950719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3D-4EBC-ABA6-7686AF4A1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39072"/>
        <c:axId val="197165824"/>
      </c:lineChart>
      <c:catAx>
        <c:axId val="19713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时间间隔（</a:t>
                </a:r>
                <a:r>
                  <a:rPr lang="en-US" altLang="zh-CN"/>
                  <a:t>min</a:t>
                </a:r>
                <a:r>
                  <a:rPr lang="zh-CN" altLang="en-US"/>
                  <a:t>）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7165824"/>
        <c:crosses val="autoZero"/>
        <c:auto val="1"/>
        <c:lblAlgn val="ctr"/>
        <c:lblOffset val="100"/>
        <c:noMultiLvlLbl val="0"/>
      </c:catAx>
      <c:valAx>
        <c:axId val="197165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zh-CN" altLang="en-US"/>
                  <a:t>流量（</a:t>
                </a:r>
                <a:r>
                  <a:rPr lang="en-US" altLang="zh-CN"/>
                  <a:t>L/s</a:t>
                </a:r>
                <a:r>
                  <a:rPr lang="zh-CN" altLang="en-US"/>
                  <a:t>）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nextTo"/>
        <c:crossAx val="197139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69</xdr:row>
      <xdr:rowOff>57150</xdr:rowOff>
    </xdr:from>
    <xdr:to>
      <xdr:col>6</xdr:col>
      <xdr:colOff>466725</xdr:colOff>
      <xdr:row>86</xdr:row>
      <xdr:rowOff>38100</xdr:rowOff>
    </xdr:to>
    <xdr:graphicFrame macro="">
      <xdr:nvGraphicFramePr>
        <xdr:cNvPr id="2" name="图表 1" title="3年一遇2h降雨数据计算表">
          <a:extLst>
            <a:ext uri="{FF2B5EF4-FFF2-40B4-BE49-F238E27FC236}">
              <a16:creationId xmlns:a16="http://schemas.microsoft.com/office/drawing/2014/main" id="{E288A750-914A-473B-96E6-64EFD9AD03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0</xdr:row>
      <xdr:rowOff>171450</xdr:rowOff>
    </xdr:from>
    <xdr:to>
      <xdr:col>9</xdr:col>
      <xdr:colOff>351777</xdr:colOff>
      <xdr:row>31</xdr:row>
      <xdr:rowOff>46939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E6CAFB41-9F65-40A2-A8BA-8B7A7255E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3025" y="171450"/>
          <a:ext cx="5180952" cy="54857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21271;&#20140;-&#22806;&#25490;&#38632;&#27700;&#27969;&#37327;&#24452;&#27969;&#31995;&#25968;&#35745;&#316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">
          <cell r="O5">
            <v>5</v>
          </cell>
        </row>
        <row r="6">
          <cell r="O6">
            <v>10</v>
          </cell>
        </row>
        <row r="7">
          <cell r="O7">
            <v>15</v>
          </cell>
        </row>
        <row r="8">
          <cell r="O8">
            <v>20</v>
          </cell>
        </row>
        <row r="9">
          <cell r="O9">
            <v>25</v>
          </cell>
        </row>
        <row r="10">
          <cell r="O10">
            <v>30</v>
          </cell>
        </row>
        <row r="11">
          <cell r="O11">
            <v>35</v>
          </cell>
        </row>
        <row r="12">
          <cell r="O12">
            <v>40</v>
          </cell>
        </row>
        <row r="13">
          <cell r="O13">
            <v>45</v>
          </cell>
        </row>
        <row r="14">
          <cell r="O14">
            <v>50</v>
          </cell>
        </row>
        <row r="15">
          <cell r="O15">
            <v>55</v>
          </cell>
        </row>
        <row r="16">
          <cell r="O16">
            <v>60</v>
          </cell>
        </row>
        <row r="17">
          <cell r="O17">
            <v>65</v>
          </cell>
        </row>
        <row r="18">
          <cell r="O18">
            <v>70</v>
          </cell>
        </row>
        <row r="19">
          <cell r="O19">
            <v>75</v>
          </cell>
        </row>
        <row r="20">
          <cell r="O20">
            <v>80</v>
          </cell>
        </row>
        <row r="21">
          <cell r="O21">
            <v>85</v>
          </cell>
        </row>
        <row r="22">
          <cell r="O22">
            <v>90</v>
          </cell>
        </row>
        <row r="23">
          <cell r="O23">
            <v>95</v>
          </cell>
        </row>
        <row r="24">
          <cell r="O24">
            <v>100</v>
          </cell>
        </row>
        <row r="25">
          <cell r="O25">
            <v>105</v>
          </cell>
        </row>
        <row r="26">
          <cell r="O26">
            <v>110</v>
          </cell>
        </row>
        <row r="27">
          <cell r="O27">
            <v>115</v>
          </cell>
        </row>
        <row r="28">
          <cell r="O28">
            <v>120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ivifre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841CD-B024-4378-ACF6-D0A3BC4801D0}">
  <dimension ref="B2:P96"/>
  <sheetViews>
    <sheetView tabSelected="1" workbookViewId="0">
      <selection activeCell="C7" sqref="C7"/>
    </sheetView>
  </sheetViews>
  <sheetFormatPr defaultRowHeight="14.25" x14ac:dyDescent="0.2"/>
  <cols>
    <col min="2" max="2" width="25.25" bestFit="1" customWidth="1"/>
    <col min="3" max="3" width="17.375" customWidth="1"/>
    <col min="4" max="4" width="11.25" customWidth="1"/>
    <col min="9" max="9" width="17.25" customWidth="1"/>
    <col min="10" max="10" width="12.125" customWidth="1"/>
    <col min="16" max="16" width="12.125" customWidth="1"/>
  </cols>
  <sheetData>
    <row r="2" spans="2:16" ht="25.5" customHeight="1" x14ac:dyDescent="0.2">
      <c r="B2" s="24" t="s">
        <v>83</v>
      </c>
      <c r="C2" s="24"/>
      <c r="D2" s="24"/>
      <c r="E2" s="24"/>
    </row>
    <row r="3" spans="2:16" ht="24" customHeight="1" x14ac:dyDescent="0.2">
      <c r="B3" s="25" t="s">
        <v>79</v>
      </c>
      <c r="C3" s="25"/>
      <c r="D3" s="25"/>
      <c r="E3" s="25"/>
    </row>
    <row r="4" spans="2:16" ht="22.5" customHeight="1" x14ac:dyDescent="0.2">
      <c r="B4" s="26" t="s">
        <v>80</v>
      </c>
      <c r="C4" s="27"/>
      <c r="D4" s="27"/>
      <c r="E4" s="27"/>
    </row>
    <row r="6" spans="2:16" x14ac:dyDescent="0.2">
      <c r="B6" s="24" t="s">
        <v>48</v>
      </c>
      <c r="C6" s="24"/>
    </row>
    <row r="7" spans="2:16" x14ac:dyDescent="0.2">
      <c r="B7" s="1" t="s">
        <v>44</v>
      </c>
      <c r="C7" s="7" t="s">
        <v>49</v>
      </c>
      <c r="I7" s="24" t="s">
        <v>0</v>
      </c>
      <c r="J7" s="24"/>
      <c r="K7" s="24"/>
      <c r="L7" s="24"/>
      <c r="M7" s="24"/>
      <c r="N7" s="24"/>
      <c r="O7" s="24"/>
      <c r="P7" s="24"/>
    </row>
    <row r="8" spans="2:16" x14ac:dyDescent="0.2">
      <c r="B8" s="1" t="s">
        <v>72</v>
      </c>
      <c r="C8" s="20">
        <v>0.85</v>
      </c>
      <c r="I8" s="1" t="s">
        <v>1</v>
      </c>
      <c r="J8" s="2">
        <v>5</v>
      </c>
      <c r="K8" s="2">
        <v>15</v>
      </c>
      <c r="L8" s="2">
        <v>30</v>
      </c>
      <c r="M8" s="2">
        <v>45</v>
      </c>
      <c r="N8" s="2">
        <v>60</v>
      </c>
      <c r="O8" s="2">
        <v>90</v>
      </c>
      <c r="P8" s="2">
        <v>120</v>
      </c>
    </row>
    <row r="9" spans="2:16" ht="16.5" x14ac:dyDescent="0.2">
      <c r="B9" s="1" t="s">
        <v>76</v>
      </c>
      <c r="C9" s="7">
        <v>32.5</v>
      </c>
      <c r="I9" s="1" t="s">
        <v>5</v>
      </c>
      <c r="J9" s="3">
        <f>IF($C$7="北京 I区",2719*(1+0.96*LOG10($C$10))/(J8+11.591)^0.902,1602*(1+1.037*LOG10($C$10))/(J8+11.593)^0.681)</f>
        <v>360.63138296422363</v>
      </c>
      <c r="K9" s="3">
        <f t="shared" ref="K9:P9" si="0">IF($C$7="北京 I区",2719*(1+0.96*LOG10($C$10))/(K8+11.591)^0.902,1602*(1+1.037*LOG10($C$10))/(K8+11.593)^0.681)</f>
        <v>235.65567190184279</v>
      </c>
      <c r="L9" s="3">
        <f t="shared" si="0"/>
        <v>157.4168234603963</v>
      </c>
      <c r="M9" s="3">
        <f t="shared" si="0"/>
        <v>119.23683598299175</v>
      </c>
      <c r="N9" s="3">
        <f t="shared" si="0"/>
        <v>96.450896047107392</v>
      </c>
      <c r="O9" s="3">
        <f t="shared" si="0"/>
        <v>70.340450786273706</v>
      </c>
      <c r="P9" s="3">
        <f t="shared" si="0"/>
        <v>55.698891043760362</v>
      </c>
    </row>
    <row r="10" spans="2:16" x14ac:dyDescent="0.2">
      <c r="B10" s="1" t="s">
        <v>45</v>
      </c>
      <c r="C10" s="7">
        <v>5</v>
      </c>
    </row>
    <row r="11" spans="2:16" ht="16.5" x14ac:dyDescent="0.2">
      <c r="B11" s="1" t="s">
        <v>46</v>
      </c>
      <c r="C11" s="7">
        <v>12415</v>
      </c>
    </row>
    <row r="12" spans="2:16" x14ac:dyDescent="0.2">
      <c r="B12" s="6" t="s">
        <v>82</v>
      </c>
      <c r="C12" s="7">
        <v>0.78</v>
      </c>
      <c r="I12" s="24" t="s">
        <v>2</v>
      </c>
      <c r="J12" s="24"/>
      <c r="K12" s="24"/>
      <c r="L12" s="24"/>
      <c r="M12" s="24"/>
      <c r="N12" s="24"/>
      <c r="O12" s="24"/>
      <c r="P12" s="24"/>
    </row>
    <row r="13" spans="2:16" x14ac:dyDescent="0.2">
      <c r="B13" s="6" t="s">
        <v>47</v>
      </c>
      <c r="C13" s="7">
        <v>0.65</v>
      </c>
      <c r="I13" s="1" t="s">
        <v>1</v>
      </c>
      <c r="J13" s="2">
        <v>5</v>
      </c>
      <c r="K13" s="2">
        <v>15</v>
      </c>
      <c r="L13" s="2">
        <v>30</v>
      </c>
      <c r="M13" s="2">
        <v>45</v>
      </c>
      <c r="N13" s="2">
        <v>60</v>
      </c>
      <c r="O13" s="2">
        <v>90</v>
      </c>
      <c r="P13" s="2">
        <v>120</v>
      </c>
    </row>
    <row r="14" spans="2:16" ht="16.5" x14ac:dyDescent="0.2">
      <c r="B14" s="1" t="s">
        <v>64</v>
      </c>
      <c r="C14" s="7">
        <v>264.08999999999997</v>
      </c>
      <c r="I14" s="1" t="s">
        <v>3</v>
      </c>
      <c r="J14" s="3">
        <f>J9*J13*60/10000</f>
        <v>10.818941488926709</v>
      </c>
      <c r="K14" s="3">
        <f t="shared" ref="K14:P14" si="1">K9*K13*60/10000</f>
        <v>21.209010471165854</v>
      </c>
      <c r="L14" s="3">
        <f t="shared" si="1"/>
        <v>28.335028222871333</v>
      </c>
      <c r="M14" s="3">
        <f t="shared" si="1"/>
        <v>32.193945715407772</v>
      </c>
      <c r="N14" s="3">
        <f t="shared" si="1"/>
        <v>34.722322576958661</v>
      </c>
      <c r="O14" s="3">
        <f t="shared" si="1"/>
        <v>37.983843424587803</v>
      </c>
      <c r="P14" s="3">
        <f t="shared" si="1"/>
        <v>40.10320155150746</v>
      </c>
    </row>
    <row r="17" spans="2:16" x14ac:dyDescent="0.2">
      <c r="I17" s="24" t="s">
        <v>4</v>
      </c>
      <c r="J17" s="24"/>
      <c r="K17" s="24"/>
      <c r="L17" s="24"/>
      <c r="M17" s="24"/>
      <c r="N17" s="24"/>
      <c r="O17" s="24"/>
      <c r="P17" s="24"/>
    </row>
    <row r="18" spans="2:16" ht="17.25" x14ac:dyDescent="0.2">
      <c r="B18" s="21" t="s">
        <v>69</v>
      </c>
      <c r="C18" s="22"/>
      <c r="D18" s="23"/>
      <c r="I18" s="1" t="s">
        <v>1</v>
      </c>
      <c r="J18" s="2" t="s">
        <v>12</v>
      </c>
      <c r="K18" s="2" t="s">
        <v>11</v>
      </c>
      <c r="L18" s="2" t="s">
        <v>10</v>
      </c>
      <c r="M18" s="2" t="s">
        <v>9</v>
      </c>
      <c r="N18" s="2" t="s">
        <v>8</v>
      </c>
      <c r="O18" s="2" t="s">
        <v>7</v>
      </c>
      <c r="P18" s="2" t="s">
        <v>6</v>
      </c>
    </row>
    <row r="19" spans="2:16" x14ac:dyDescent="0.2">
      <c r="B19" s="1" t="s">
        <v>65</v>
      </c>
      <c r="C19" s="3">
        <f>MAX(N73:N96)</f>
        <v>22.915648776908597</v>
      </c>
      <c r="D19" s="2"/>
      <c r="I19" s="1" t="s">
        <v>3</v>
      </c>
      <c r="J19" s="3">
        <f>J14</f>
        <v>10.818941488926709</v>
      </c>
      <c r="K19" s="3">
        <f>K14-J14</f>
        <v>10.390068982239145</v>
      </c>
      <c r="L19" s="3">
        <f t="shared" ref="L19:P19" si="2">L14-K14</f>
        <v>7.1260177517054792</v>
      </c>
      <c r="M19" s="3">
        <f t="shared" si="2"/>
        <v>3.8589174925364382</v>
      </c>
      <c r="N19" s="3">
        <f t="shared" si="2"/>
        <v>2.528376861550889</v>
      </c>
      <c r="O19" s="3">
        <f t="shared" si="2"/>
        <v>3.2615208476291428</v>
      </c>
      <c r="P19" s="3">
        <f t="shared" si="2"/>
        <v>2.1193581269196571</v>
      </c>
    </row>
    <row r="20" spans="2:16" x14ac:dyDescent="0.2">
      <c r="B20" s="1" t="s">
        <v>66</v>
      </c>
      <c r="C20" s="3">
        <f>MAX(J73:J96)</f>
        <v>349.22461232106519</v>
      </c>
      <c r="D20" s="2"/>
    </row>
    <row r="21" spans="2:16" x14ac:dyDescent="0.2">
      <c r="B21" s="1" t="s">
        <v>67</v>
      </c>
      <c r="C21" s="19">
        <f>(C20-C19)/C20</f>
        <v>0.93438134665078898</v>
      </c>
      <c r="D21" s="2"/>
    </row>
    <row r="22" spans="2:16" x14ac:dyDescent="0.2">
      <c r="B22" s="1" t="s">
        <v>68</v>
      </c>
      <c r="C22" s="3">
        <f>VLOOKUP(MAX(N73:N96),IF({1,0},N73:N96,P73:P96),2,FALSE)-VLOOKUP(MAX(J73:J96),IF({1,0},J73:J96,P73:P96),2,FALSE)</f>
        <v>60</v>
      </c>
      <c r="D22" s="2"/>
      <c r="H22" s="24" t="s">
        <v>13</v>
      </c>
      <c r="I22" s="24"/>
      <c r="J22" s="24"/>
      <c r="K22" s="24"/>
      <c r="L22" s="24"/>
      <c r="M22" s="24"/>
      <c r="N22" s="24"/>
      <c r="O22" s="24"/>
      <c r="P22" s="24"/>
    </row>
    <row r="23" spans="2:16" ht="16.5" x14ac:dyDescent="0.2">
      <c r="B23" s="1" t="s">
        <v>73</v>
      </c>
      <c r="C23" s="3">
        <f>C9/1000*C11</f>
        <v>403.48750000000001</v>
      </c>
      <c r="D23" s="2"/>
      <c r="H23" s="35" t="s">
        <v>17</v>
      </c>
      <c r="I23" s="38" t="s">
        <v>15</v>
      </c>
      <c r="J23" s="28" t="s">
        <v>14</v>
      </c>
      <c r="K23" s="29"/>
      <c r="L23" s="29"/>
      <c r="M23" s="29"/>
      <c r="N23" s="29"/>
      <c r="O23" s="29"/>
      <c r="P23" s="30"/>
    </row>
    <row r="24" spans="2:16" ht="17.25" x14ac:dyDescent="0.2">
      <c r="B24" s="1" t="s">
        <v>74</v>
      </c>
      <c r="C24" s="3">
        <f>C23*(1-C13)</f>
        <v>141.22062499999998</v>
      </c>
      <c r="D24" s="2"/>
      <c r="H24" s="35"/>
      <c r="I24" s="39"/>
      <c r="J24" s="2" t="s">
        <v>6</v>
      </c>
      <c r="K24" s="2" t="s">
        <v>7</v>
      </c>
      <c r="L24" s="2" t="s">
        <v>8</v>
      </c>
      <c r="M24" s="2" t="s">
        <v>9</v>
      </c>
      <c r="N24" s="2" t="s">
        <v>10</v>
      </c>
      <c r="O24" s="2" t="s">
        <v>11</v>
      </c>
      <c r="P24" s="4" t="s">
        <v>12</v>
      </c>
    </row>
    <row r="25" spans="2:16" ht="16.5" x14ac:dyDescent="0.2">
      <c r="B25" s="1" t="s">
        <v>75</v>
      </c>
      <c r="C25" s="3">
        <f>C14+C24</f>
        <v>405.31062499999996</v>
      </c>
      <c r="D25" s="2"/>
      <c r="H25" s="35"/>
      <c r="I25" s="2" t="s">
        <v>16</v>
      </c>
      <c r="J25" s="3">
        <f>P19</f>
        <v>2.1193581269196571</v>
      </c>
      <c r="K25" s="3">
        <f>O19</f>
        <v>3.2615208476291428</v>
      </c>
      <c r="L25" s="3">
        <f>N19</f>
        <v>2.528376861550889</v>
      </c>
      <c r="M25" s="3">
        <f>M19</f>
        <v>3.8589174925364382</v>
      </c>
      <c r="N25" s="3">
        <f>L19</f>
        <v>7.1260177517054792</v>
      </c>
      <c r="O25" s="3">
        <f>K19</f>
        <v>10.390068982239145</v>
      </c>
      <c r="P25" s="3">
        <f>J19</f>
        <v>10.818941488926709</v>
      </c>
    </row>
    <row r="26" spans="2:16" ht="16.5" x14ac:dyDescent="0.2">
      <c r="B26" s="17" t="s">
        <v>78</v>
      </c>
      <c r="C26" s="3">
        <f>O96</f>
        <v>59.531406939358305</v>
      </c>
      <c r="D26" s="2"/>
      <c r="H26" s="2">
        <v>1</v>
      </c>
      <c r="I26" s="2">
        <v>5</v>
      </c>
      <c r="J26" s="2"/>
      <c r="K26" s="2"/>
      <c r="L26" s="2"/>
      <c r="M26" s="2">
        <v>0.29289999999999999</v>
      </c>
      <c r="N26" s="2"/>
      <c r="O26" s="2"/>
      <c r="P26" s="2"/>
    </row>
    <row r="27" spans="2:16" x14ac:dyDescent="0.2">
      <c r="B27" s="1" t="s">
        <v>70</v>
      </c>
      <c r="C27" s="3">
        <f>MAX(N73:N96)*5*60/(C11*MAX(I73:I96))</f>
        <v>5.1182549612384616E-2</v>
      </c>
      <c r="D27" s="2" t="s">
        <v>71</v>
      </c>
      <c r="H27" s="2">
        <v>2</v>
      </c>
      <c r="I27" s="2">
        <f>I26+5</f>
        <v>10</v>
      </c>
      <c r="J27" s="2"/>
      <c r="K27" s="2"/>
      <c r="L27" s="2"/>
      <c r="M27" s="2"/>
      <c r="N27" s="2">
        <v>0.39689999999999998</v>
      </c>
      <c r="O27" s="2"/>
      <c r="P27" s="2"/>
    </row>
    <row r="28" spans="2:16" x14ac:dyDescent="0.2">
      <c r="B28" s="1" t="s">
        <v>77</v>
      </c>
      <c r="C28" s="3">
        <f>C25*1000/C11</f>
        <v>32.646848570277882</v>
      </c>
      <c r="D28" s="2" t="str">
        <f>"不小于"&amp;C9</f>
        <v>不小于32.5</v>
      </c>
      <c r="H28" s="2">
        <v>3</v>
      </c>
      <c r="I28" s="2">
        <f t="shared" ref="I28:I49" si="3">I27+5</f>
        <v>15</v>
      </c>
      <c r="J28" s="2"/>
      <c r="K28" s="2"/>
      <c r="L28" s="2"/>
      <c r="M28" s="2"/>
      <c r="N28" s="2"/>
      <c r="O28" s="2">
        <v>0.4667</v>
      </c>
      <c r="P28" s="2"/>
    </row>
    <row r="29" spans="2:16" x14ac:dyDescent="0.2">
      <c r="H29" s="2">
        <v>4</v>
      </c>
      <c r="I29" s="2">
        <f t="shared" si="3"/>
        <v>20</v>
      </c>
      <c r="J29" s="2"/>
      <c r="K29" s="2"/>
      <c r="L29" s="2"/>
      <c r="M29" s="2"/>
      <c r="N29" s="2"/>
      <c r="O29" s="2"/>
      <c r="P29" s="2">
        <v>1</v>
      </c>
    </row>
    <row r="30" spans="2:16" x14ac:dyDescent="0.2">
      <c r="H30" s="2">
        <v>5</v>
      </c>
      <c r="I30" s="2">
        <f t="shared" si="3"/>
        <v>25</v>
      </c>
      <c r="J30" s="2"/>
      <c r="K30" s="2"/>
      <c r="L30" s="2"/>
      <c r="M30" s="2"/>
      <c r="N30" s="2"/>
      <c r="O30" s="2">
        <v>0.5333</v>
      </c>
      <c r="P30" s="2"/>
    </row>
    <row r="31" spans="2:16" x14ac:dyDescent="0.2">
      <c r="H31" s="2">
        <v>6</v>
      </c>
      <c r="I31" s="2">
        <f t="shared" si="3"/>
        <v>30</v>
      </c>
      <c r="J31" s="2"/>
      <c r="K31" s="2"/>
      <c r="L31" s="2"/>
      <c r="M31" s="2"/>
      <c r="N31" s="2">
        <v>0.34549999999999997</v>
      </c>
      <c r="O31" s="2"/>
      <c r="P31" s="2"/>
    </row>
    <row r="32" spans="2:16" x14ac:dyDescent="0.2">
      <c r="H32" s="2">
        <v>7</v>
      </c>
      <c r="I32" s="2">
        <f t="shared" si="3"/>
        <v>35</v>
      </c>
      <c r="J32" s="2"/>
      <c r="K32" s="2"/>
      <c r="L32" s="2"/>
      <c r="M32" s="2"/>
      <c r="N32" s="2">
        <v>0.2576</v>
      </c>
      <c r="O32" s="2"/>
      <c r="P32" s="2"/>
    </row>
    <row r="33" spans="2:16" x14ac:dyDescent="0.2">
      <c r="B33" s="28" t="s">
        <v>81</v>
      </c>
      <c r="C33" s="29"/>
      <c r="D33" s="29"/>
      <c r="E33" s="30"/>
      <c r="H33" s="2">
        <v>8</v>
      </c>
      <c r="I33" s="2">
        <f t="shared" si="3"/>
        <v>40</v>
      </c>
      <c r="J33" s="2"/>
      <c r="K33" s="2"/>
      <c r="L33" s="2"/>
      <c r="M33" s="2">
        <v>0.49880000000000002</v>
      </c>
      <c r="N33" s="2"/>
      <c r="O33" s="2"/>
      <c r="P33" s="2"/>
    </row>
    <row r="34" spans="2:16" x14ac:dyDescent="0.2">
      <c r="B34" s="31" t="str">
        <f>"外排峰值流量计算：
根据“"&amp;B69&amp;"”，流量最大时即为外排峰值流量，为Qmax1="&amp;TEXT(C19,"####0.00")&amp;"L/s，出现在第"&amp;TEXT(VLOOKUP(MAX(N73:N96),IF({1,0},N73:N96,P73:P96),2,FALSE),"####0")&amp;"min；原场地外排水峰值流量为Qmax2="&amp;TEXT(C20,"####0.00")&amp;"L/s,出现在第"&amp;TEXT(VLOOKUP(MAX(J73:J96),IF({1,0},J73:J96,P73:P96),2,FALSE),"####0")&amp;"min；削峰率为(Qmax2-Qmax1)/Qmax2=("&amp;TEXT(C20,"####0.00")&amp;"-"&amp;TEXT(C19,"####0.00")&amp;") / "&amp;TEXT(C20,"####0.00")&amp;"×100="&amp;TEXT(C21,"#0.00%")&amp;"，峰值延后"&amp;C22&amp;"min。
外排雨水流量径流系数计算
如果把降雨历时划分为无限个降雨间隔，那么每个降雨间隔的降雨厚度都接近于降雨强度。基于这个理论，在120min的降雨历时内，每5分钟的降雨厚度接近于这个降雨间隔的降雨强度，雨量径流系数接近于流量径流系数。
根据公式得W=10ΨhF，得Ψ=W/(10hF)
外排雨水流量径流系数
Ψ=W/(10hF)=Qmax1×5×60/(10×h×F)="&amp;TEXT(C19,"####0.00")&amp;"×5×60/(10×"&amp;TEXT(MAX(I73:I96),"####0.00")&amp;"×"&amp;C11&amp;")="&amp;TEXT(C27,"####0.00")&amp;"
年径流总量控制率计算
要实现年径流总量控制率为"&amp;TEXT(C8,"##0.00%")&amp;"的目标，即控制"&amp;C9&amp;"mm降雨无外排。项目场地内设计降雨控制量为V4="&amp;C9&amp;"/1000×"&amp;C11&amp;"="&amp;TEXT(C23,"####0.00")&amp;"m3。场地综合径流系数为Ψ2="&amp;C13&amp;"，则入渗实现的降雨控制量为V5=V4(1-Ψ2)="&amp;TEXT(C23,"####0.00")&amp;"×(1-"&amp;C13&amp;")="&amp;TEXT(C24,"####0.00")&amp;"m3.
蓄水空间为V3="&amp;C14&amp;"m3，于是项目总蓄水空间为
V6=V3+V5="&amp;C14&amp;"+"&amp;TEXT(C24,"####0.00")&amp;"="&amp;TEXT(C25,"####0.00")&amp;"m3，设计降雨厚度为：
h=V6/F="&amp;TEXT(C25,"####0.00")&amp;"×1000/"&amp;C11&amp;"="&amp;TEXT(C28,"####0.00")&amp;"mm "&amp;IF(C28&lt;C9,"&lt;",IF(C28=C9,"=","&gt;"))&amp;C9&amp;"mm
根据规范，可知年径流总量控制率"&amp;IF(C28&lt;C9,"小于","不小于")&amp;TEXT(C8,"##0.00%")&amp;"，"&amp;IF(C28&lt;C9,"不满足","满足")&amp;"要求。
外排水总量计算
根据表11累计外排水量，可知2h内外排水总量为"&amp;TEXT(O96,"####0.00")&amp;"m3"</f>
        <v>外排峰值流量计算：
根据“5年一遇场地原径流量和实际外排水流量曲线图”，流量最大时即为外排峰值流量，为Qmax1=22.92L/s，出现在第80min；原场地外排水峰值流量为Qmax2=349.22L/s,出现在第20min；削峰率为(Qmax2-Qmax1)/Qmax2=(349.22-22.92) / 349.22×100=93.44%，峰值延后60min。
外排雨水流量径流系数计算
如果把降雨历时划分为无限个降雨间隔，那么每个降雨间隔的降雨厚度都接近于降雨强度。基于这个理论，在120min的降雨历时内，每5分钟的降雨厚度接近于这个降雨间隔的降雨强度，雨量径流系数接近于流量径流系数。
根据公式得W=10ΨhF，得Ψ=W/(10hF)
外排雨水流量径流系数
Ψ=W/(10hF)=Qmax1×5×60/(10×h×F)=22.92×5×60/(10×10.82×12415)=0.05
年径流总量控制率计算
要实现年径流总量控制率为85.00%的目标，即控制32.5mm降雨无外排。项目场地内设计降雨控制量为V4=32.5/1000×12415=403.49m3。场地综合径流系数为Ψ2=0.65，则入渗实现的降雨控制量为V5=V4(1-Ψ2)=403.49×(1-0.65)=141.22m3.
蓄水空间为V3=264.09m3，于是项目总蓄水空间为
V6=V3+V5=264.09+141.22=405.31m3，设计降雨厚度为：
h=V6/F=405.31×1000/12415=32.65mm &gt;32.5mm
根据规范，可知年径流总量控制率不小于85.00%，满足要求。
外排水总量计算
根据表11累计外排水量，可知2h内外排水总量为59.53m3</v>
      </c>
      <c r="C34" s="31"/>
      <c r="D34" s="31"/>
      <c r="E34" s="31"/>
      <c r="H34" s="2">
        <v>9</v>
      </c>
      <c r="I34" s="2">
        <f t="shared" si="3"/>
        <v>45</v>
      </c>
      <c r="J34" s="2"/>
      <c r="K34" s="2"/>
      <c r="L34" s="2"/>
      <c r="M34" s="2">
        <v>0.2082</v>
      </c>
      <c r="N34" s="2"/>
      <c r="O34" s="2"/>
      <c r="P34" s="2"/>
    </row>
    <row r="35" spans="2:16" x14ac:dyDescent="0.2">
      <c r="B35" s="31"/>
      <c r="C35" s="31"/>
      <c r="D35" s="31"/>
      <c r="E35" s="31"/>
      <c r="H35" s="2">
        <v>10</v>
      </c>
      <c r="I35" s="2">
        <f t="shared" si="3"/>
        <v>50</v>
      </c>
      <c r="J35" s="2"/>
      <c r="K35" s="2"/>
      <c r="L35" s="2">
        <v>0.41020000000000001</v>
      </c>
      <c r="M35" s="2"/>
      <c r="N35" s="2"/>
      <c r="O35" s="2"/>
      <c r="P35" s="2"/>
    </row>
    <row r="36" spans="2:16" x14ac:dyDescent="0.2">
      <c r="B36" s="31"/>
      <c r="C36" s="31"/>
      <c r="D36" s="31"/>
      <c r="E36" s="31"/>
      <c r="H36" s="2">
        <v>11</v>
      </c>
      <c r="I36" s="2">
        <f t="shared" si="3"/>
        <v>55</v>
      </c>
      <c r="J36" s="2"/>
      <c r="K36" s="2"/>
      <c r="L36" s="2">
        <v>0.30790000000000001</v>
      </c>
      <c r="M36" s="2"/>
      <c r="N36" s="2"/>
      <c r="O36" s="2"/>
      <c r="P36" s="2"/>
    </row>
    <row r="37" spans="2:16" x14ac:dyDescent="0.2">
      <c r="B37" s="31"/>
      <c r="C37" s="31"/>
      <c r="D37" s="31"/>
      <c r="E37" s="31"/>
      <c r="H37" s="2">
        <v>12</v>
      </c>
      <c r="I37" s="2">
        <f t="shared" si="3"/>
        <v>60</v>
      </c>
      <c r="J37" s="2"/>
      <c r="K37" s="2"/>
      <c r="L37" s="2">
        <v>0.28189999999999998</v>
      </c>
      <c r="M37" s="2"/>
      <c r="N37" s="2"/>
      <c r="O37" s="2"/>
      <c r="P37" s="2"/>
    </row>
    <row r="38" spans="2:16" x14ac:dyDescent="0.2">
      <c r="B38" s="31"/>
      <c r="C38" s="31"/>
      <c r="D38" s="31"/>
      <c r="E38" s="31"/>
      <c r="H38" s="2">
        <v>13</v>
      </c>
      <c r="I38" s="2">
        <f t="shared" si="3"/>
        <v>65</v>
      </c>
      <c r="J38" s="2"/>
      <c r="K38" s="2">
        <v>0.17519999999999999</v>
      </c>
      <c r="L38" s="2"/>
      <c r="M38" s="2"/>
      <c r="N38" s="2"/>
      <c r="O38" s="2"/>
      <c r="P38" s="2"/>
    </row>
    <row r="39" spans="2:16" x14ac:dyDescent="0.2">
      <c r="B39" s="31"/>
      <c r="C39" s="31"/>
      <c r="D39" s="31"/>
      <c r="E39" s="31"/>
      <c r="H39" s="2">
        <v>14</v>
      </c>
      <c r="I39" s="2">
        <f t="shared" si="3"/>
        <v>70</v>
      </c>
      <c r="J39" s="2"/>
      <c r="K39" s="2">
        <v>0.15060000000000001</v>
      </c>
      <c r="L39" s="2"/>
      <c r="M39" s="2"/>
      <c r="N39" s="2"/>
      <c r="O39" s="2"/>
      <c r="P39" s="2"/>
    </row>
    <row r="40" spans="2:16" x14ac:dyDescent="0.2">
      <c r="B40" s="31"/>
      <c r="C40" s="31"/>
      <c r="D40" s="31"/>
      <c r="E40" s="31"/>
      <c r="H40" s="2">
        <v>15</v>
      </c>
      <c r="I40" s="2">
        <f t="shared" si="3"/>
        <v>75</v>
      </c>
      <c r="J40" s="2"/>
      <c r="K40" s="2">
        <v>0.19120000000000001</v>
      </c>
      <c r="L40" s="2"/>
      <c r="M40" s="2"/>
      <c r="N40" s="2"/>
      <c r="O40" s="2"/>
      <c r="P40" s="2"/>
    </row>
    <row r="41" spans="2:16" x14ac:dyDescent="0.2">
      <c r="B41" s="31"/>
      <c r="C41" s="31"/>
      <c r="D41" s="31"/>
      <c r="E41" s="31"/>
      <c r="H41" s="2">
        <v>16</v>
      </c>
      <c r="I41" s="2">
        <f t="shared" si="3"/>
        <v>80</v>
      </c>
      <c r="J41" s="2"/>
      <c r="K41" s="2">
        <v>0.26119999999999999</v>
      </c>
      <c r="L41" s="2"/>
      <c r="M41" s="2"/>
      <c r="N41" s="2"/>
      <c r="O41" s="2"/>
      <c r="P41" s="2"/>
    </row>
    <row r="42" spans="2:16" x14ac:dyDescent="0.2">
      <c r="B42" s="31"/>
      <c r="C42" s="31"/>
      <c r="D42" s="31"/>
      <c r="E42" s="31"/>
      <c r="H42" s="2">
        <v>17</v>
      </c>
      <c r="I42" s="2">
        <f t="shared" si="3"/>
        <v>85</v>
      </c>
      <c r="J42" s="2"/>
      <c r="K42" s="2">
        <v>0.10929999999999999</v>
      </c>
      <c r="L42" s="2"/>
      <c r="M42" s="2"/>
      <c r="N42" s="2"/>
      <c r="O42" s="2"/>
      <c r="P42" s="2"/>
    </row>
    <row r="43" spans="2:16" x14ac:dyDescent="0.2">
      <c r="B43" s="31"/>
      <c r="C43" s="31"/>
      <c r="D43" s="31"/>
      <c r="E43" s="31"/>
      <c r="H43" s="2">
        <v>18</v>
      </c>
      <c r="I43" s="2">
        <f t="shared" si="3"/>
        <v>90</v>
      </c>
      <c r="J43" s="2"/>
      <c r="K43" s="2">
        <v>0.1125</v>
      </c>
      <c r="L43" s="2"/>
      <c r="M43" s="2"/>
      <c r="N43" s="2"/>
      <c r="O43" s="2"/>
      <c r="P43" s="2"/>
    </row>
    <row r="44" spans="2:16" x14ac:dyDescent="0.2">
      <c r="B44" s="31"/>
      <c r="C44" s="31"/>
      <c r="D44" s="31"/>
      <c r="E44" s="31"/>
      <c r="H44" s="2">
        <v>19</v>
      </c>
      <c r="I44" s="2">
        <f t="shared" si="3"/>
        <v>95</v>
      </c>
      <c r="J44" s="2">
        <v>0.16020000000000001</v>
      </c>
      <c r="K44" s="2"/>
      <c r="L44" s="2"/>
      <c r="M44" s="2"/>
      <c r="N44" s="2"/>
      <c r="O44" s="2"/>
      <c r="P44" s="2"/>
    </row>
    <row r="45" spans="2:16" x14ac:dyDescent="0.2">
      <c r="B45" s="31"/>
      <c r="C45" s="31"/>
      <c r="D45" s="31"/>
      <c r="E45" s="31"/>
      <c r="H45" s="2">
        <v>20</v>
      </c>
      <c r="I45" s="2">
        <f t="shared" si="3"/>
        <v>100</v>
      </c>
      <c r="J45" s="2">
        <v>0.14860000000000001</v>
      </c>
      <c r="K45" s="2"/>
      <c r="L45" s="2"/>
      <c r="M45" s="2"/>
      <c r="N45" s="2"/>
      <c r="O45" s="2"/>
      <c r="P45" s="2"/>
    </row>
    <row r="46" spans="2:16" x14ac:dyDescent="0.2">
      <c r="B46" s="31"/>
      <c r="C46" s="31"/>
      <c r="D46" s="31"/>
      <c r="E46" s="31"/>
      <c r="H46" s="2">
        <v>21</v>
      </c>
      <c r="I46" s="2">
        <f t="shared" si="3"/>
        <v>105</v>
      </c>
      <c r="J46" s="2">
        <v>0.16800000000000001</v>
      </c>
      <c r="K46" s="2"/>
      <c r="L46" s="2"/>
      <c r="M46" s="2"/>
      <c r="N46" s="2"/>
      <c r="O46" s="2"/>
      <c r="P46" s="2"/>
    </row>
    <row r="47" spans="2:16" x14ac:dyDescent="0.2">
      <c r="B47" s="31"/>
      <c r="C47" s="31"/>
      <c r="D47" s="31"/>
      <c r="E47" s="31"/>
      <c r="H47" s="2">
        <v>22</v>
      </c>
      <c r="I47" s="2">
        <f t="shared" si="3"/>
        <v>110</v>
      </c>
      <c r="J47" s="2">
        <v>0.13880000000000001</v>
      </c>
      <c r="K47" s="2"/>
      <c r="L47" s="2"/>
      <c r="M47" s="2"/>
      <c r="N47" s="2"/>
      <c r="O47" s="2"/>
      <c r="P47" s="2"/>
    </row>
    <row r="48" spans="2:16" x14ac:dyDescent="0.2">
      <c r="B48" s="31"/>
      <c r="C48" s="31"/>
      <c r="D48" s="31"/>
      <c r="E48" s="31"/>
      <c r="H48" s="2">
        <v>23</v>
      </c>
      <c r="I48" s="2">
        <f t="shared" si="3"/>
        <v>115</v>
      </c>
      <c r="J48" s="2">
        <v>0.19739999999999999</v>
      </c>
      <c r="K48" s="2"/>
      <c r="L48" s="2"/>
      <c r="M48" s="2"/>
      <c r="N48" s="2"/>
      <c r="O48" s="2"/>
      <c r="P48" s="2"/>
    </row>
    <row r="49" spans="2:16" x14ac:dyDescent="0.2">
      <c r="B49" s="31"/>
      <c r="C49" s="31"/>
      <c r="D49" s="31"/>
      <c r="E49" s="31"/>
      <c r="H49" s="2">
        <v>24</v>
      </c>
      <c r="I49" s="2">
        <f t="shared" si="3"/>
        <v>120</v>
      </c>
      <c r="J49" s="2">
        <v>0.18709999999999999</v>
      </c>
      <c r="K49" s="2"/>
      <c r="L49" s="2"/>
      <c r="M49" s="2"/>
      <c r="N49" s="2"/>
      <c r="O49" s="2"/>
      <c r="P49" s="2"/>
    </row>
    <row r="50" spans="2:16" x14ac:dyDescent="0.2">
      <c r="B50" s="31"/>
      <c r="C50" s="31"/>
      <c r="D50" s="31"/>
      <c r="E50" s="31"/>
      <c r="H50" s="5"/>
      <c r="I50" s="5"/>
      <c r="J50" s="5"/>
      <c r="K50" s="5"/>
      <c r="L50" s="5"/>
      <c r="M50" s="5"/>
      <c r="N50" s="5"/>
      <c r="O50" s="5"/>
      <c r="P50" s="5"/>
    </row>
    <row r="51" spans="2:16" x14ac:dyDescent="0.2">
      <c r="B51" s="31"/>
      <c r="C51" s="31"/>
      <c r="D51" s="31"/>
      <c r="E51" s="31"/>
      <c r="H51" s="5"/>
    </row>
    <row r="52" spans="2:16" x14ac:dyDescent="0.2">
      <c r="B52" s="31"/>
      <c r="C52" s="31"/>
      <c r="D52" s="31"/>
      <c r="E52" s="31"/>
      <c r="H52" s="21" t="s">
        <v>18</v>
      </c>
      <c r="I52" s="36"/>
      <c r="J52" s="36"/>
      <c r="K52" s="37"/>
    </row>
    <row r="53" spans="2:16" x14ac:dyDescent="0.2">
      <c r="B53" s="31"/>
      <c r="C53" s="31"/>
      <c r="D53" s="31"/>
      <c r="E53" s="31"/>
      <c r="H53" s="2" t="s">
        <v>15</v>
      </c>
      <c r="I53" s="2" t="s">
        <v>19</v>
      </c>
      <c r="J53" s="2" t="s">
        <v>15</v>
      </c>
      <c r="K53" s="2" t="s">
        <v>19</v>
      </c>
    </row>
    <row r="54" spans="2:16" x14ac:dyDescent="0.2">
      <c r="B54" s="31"/>
      <c r="C54" s="31"/>
      <c r="D54" s="31"/>
      <c r="E54" s="31"/>
      <c r="H54" s="2" t="s">
        <v>16</v>
      </c>
      <c r="I54" s="2" t="s">
        <v>20</v>
      </c>
      <c r="J54" s="2" t="s">
        <v>16</v>
      </c>
      <c r="K54" s="2" t="s">
        <v>20</v>
      </c>
    </row>
    <row r="55" spans="2:16" ht="17.25" x14ac:dyDescent="0.2">
      <c r="B55" s="31"/>
      <c r="C55" s="31"/>
      <c r="D55" s="31"/>
      <c r="E55" s="31"/>
      <c r="H55" s="2" t="s">
        <v>12</v>
      </c>
      <c r="I55" s="3">
        <f>M25*M26</f>
        <v>1.1302769335639227</v>
      </c>
      <c r="J55" s="2" t="s">
        <v>32</v>
      </c>
      <c r="K55" s="3">
        <f>$K$25*K38</f>
        <v>0.57141845250462586</v>
      </c>
    </row>
    <row r="56" spans="2:16" ht="17.25" x14ac:dyDescent="0.2">
      <c r="B56" s="31"/>
      <c r="C56" s="31"/>
      <c r="D56" s="31"/>
      <c r="E56" s="31"/>
      <c r="H56" s="2" t="s">
        <v>21</v>
      </c>
      <c r="I56" s="3">
        <f>N25*N27</f>
        <v>2.8283164456519043</v>
      </c>
      <c r="J56" s="2" t="s">
        <v>33</v>
      </c>
      <c r="K56" s="3">
        <f t="shared" ref="K56:K60" si="4">$K$25*K39</f>
        <v>0.49118503965294896</v>
      </c>
    </row>
    <row r="57" spans="2:16" ht="17.25" x14ac:dyDescent="0.2">
      <c r="B57" s="31"/>
      <c r="C57" s="31"/>
      <c r="D57" s="31"/>
      <c r="E57" s="31"/>
      <c r="H57" s="2" t="s">
        <v>22</v>
      </c>
      <c r="I57" s="3">
        <f>O25*O28</f>
        <v>4.8490451940110084</v>
      </c>
      <c r="J57" s="2" t="s">
        <v>41</v>
      </c>
      <c r="K57" s="3">
        <f t="shared" si="4"/>
        <v>0.62360278606669217</v>
      </c>
    </row>
    <row r="58" spans="2:16" ht="17.25" x14ac:dyDescent="0.2">
      <c r="B58" s="31"/>
      <c r="C58" s="31"/>
      <c r="D58" s="31"/>
      <c r="E58" s="31"/>
      <c r="H58" s="2" t="s">
        <v>23</v>
      </c>
      <c r="I58" s="3">
        <f>P25*P29</f>
        <v>10.818941488926709</v>
      </c>
      <c r="J58" s="2" t="s">
        <v>42</v>
      </c>
      <c r="K58" s="3">
        <f t="shared" si="4"/>
        <v>0.8519092454007321</v>
      </c>
    </row>
    <row r="59" spans="2:16" ht="17.25" x14ac:dyDescent="0.2">
      <c r="B59" s="31"/>
      <c r="C59" s="31"/>
      <c r="D59" s="31"/>
      <c r="E59" s="31"/>
      <c r="H59" s="2" t="s">
        <v>24</v>
      </c>
      <c r="I59" s="3">
        <f>O25*O30</f>
        <v>5.5410237882281361</v>
      </c>
      <c r="J59" s="2" t="s">
        <v>34</v>
      </c>
      <c r="K59" s="3">
        <f t="shared" si="4"/>
        <v>0.35648422864586532</v>
      </c>
    </row>
    <row r="60" spans="2:16" ht="17.25" x14ac:dyDescent="0.2">
      <c r="B60" s="32"/>
      <c r="C60" s="32"/>
      <c r="D60" s="32"/>
      <c r="E60" s="32"/>
      <c r="H60" s="2" t="s">
        <v>25</v>
      </c>
      <c r="I60" s="3">
        <f>N25*N31</f>
        <v>2.4620391332142431</v>
      </c>
      <c r="J60" s="2" t="s">
        <v>35</v>
      </c>
      <c r="K60" s="3">
        <f t="shared" si="4"/>
        <v>0.3669210953582786</v>
      </c>
    </row>
    <row r="61" spans="2:16" ht="17.25" x14ac:dyDescent="0.2">
      <c r="H61" s="2" t="s">
        <v>26</v>
      </c>
      <c r="I61" s="3">
        <f>N25*N32</f>
        <v>1.8356621728393314</v>
      </c>
      <c r="J61" s="2" t="s">
        <v>36</v>
      </c>
      <c r="K61" s="3">
        <f>$J$25*J44</f>
        <v>0.33952117193252906</v>
      </c>
    </row>
    <row r="62" spans="2:16" ht="17.25" x14ac:dyDescent="0.2">
      <c r="H62" s="2" t="s">
        <v>27</v>
      </c>
      <c r="I62" s="3">
        <f>M25*M33</f>
        <v>1.9248280452771755</v>
      </c>
      <c r="J62" s="2" t="s">
        <v>37</v>
      </c>
      <c r="K62" s="3">
        <f t="shared" ref="K62:K66" si="5">$J$25*J45</f>
        <v>0.31493661766026104</v>
      </c>
    </row>
    <row r="63" spans="2:16" ht="17.25" x14ac:dyDescent="0.2">
      <c r="H63" s="2" t="s">
        <v>28</v>
      </c>
      <c r="I63" s="3">
        <f>M25*M34</f>
        <v>0.80342662194608638</v>
      </c>
      <c r="J63" s="2" t="s">
        <v>38</v>
      </c>
      <c r="K63" s="3">
        <f t="shared" si="5"/>
        <v>0.35605216532250239</v>
      </c>
    </row>
    <row r="64" spans="2:16" ht="17.25" x14ac:dyDescent="0.2">
      <c r="H64" s="2" t="s">
        <v>29</v>
      </c>
      <c r="I64" s="3">
        <f>L25*L35</f>
        <v>1.0371401886081748</v>
      </c>
      <c r="J64" s="2" t="s">
        <v>39</v>
      </c>
      <c r="K64" s="3">
        <f t="shared" si="5"/>
        <v>0.2941669080164484</v>
      </c>
    </row>
    <row r="65" spans="2:16" ht="17.25" x14ac:dyDescent="0.2">
      <c r="H65" s="2" t="s">
        <v>30</v>
      </c>
      <c r="I65" s="3">
        <f>L25*L36</f>
        <v>0.77848723567151878</v>
      </c>
      <c r="J65" s="2" t="s">
        <v>40</v>
      </c>
      <c r="K65" s="3">
        <f t="shared" si="5"/>
        <v>0.41836129425394031</v>
      </c>
    </row>
    <row r="66" spans="2:16" ht="17.25" x14ac:dyDescent="0.2">
      <c r="H66" s="2" t="s">
        <v>31</v>
      </c>
      <c r="I66" s="3">
        <f>L25*L37</f>
        <v>0.71274943727119555</v>
      </c>
      <c r="J66" s="2" t="s">
        <v>43</v>
      </c>
      <c r="K66" s="3">
        <f t="shared" si="5"/>
        <v>0.39653190554666784</v>
      </c>
    </row>
    <row r="67" spans="2:16" x14ac:dyDescent="0.2">
      <c r="H67" s="35" t="str">
        <f>"合计："&amp;TEXT(SUM(I55:I66)+SUM(K55:K66),"###########0.00")&amp;"mm"</f>
        <v>合计：40.10mm</v>
      </c>
      <c r="I67" s="35"/>
      <c r="J67" s="35"/>
      <c r="K67" s="35"/>
    </row>
    <row r="68" spans="2:16" x14ac:dyDescent="0.2">
      <c r="H68" s="5"/>
      <c r="I68" s="5"/>
      <c r="J68" s="5"/>
      <c r="K68" s="5"/>
    </row>
    <row r="69" spans="2:16" ht="26.25" customHeight="1" x14ac:dyDescent="0.2">
      <c r="B69" s="34" t="str">
        <f>C10&amp;"年一遇场地原径流量和实际外排水流量曲线图"</f>
        <v>5年一遇场地原径流量和实际外排水流量曲线图</v>
      </c>
      <c r="C69" s="34"/>
      <c r="D69" s="34"/>
      <c r="E69" s="34"/>
      <c r="F69" s="34"/>
      <c r="H69" s="5"/>
      <c r="I69" s="5"/>
      <c r="J69" s="5"/>
      <c r="K69" s="5"/>
    </row>
    <row r="70" spans="2:16" ht="19.5" customHeight="1" x14ac:dyDescent="0.2">
      <c r="H70" s="24" t="str">
        <f>"表11 "&amp;C10&amp;"年一遇2h降雨数据计算表"</f>
        <v>表11 5年一遇2h降雨数据计算表</v>
      </c>
      <c r="I70" s="24"/>
      <c r="J70" s="24"/>
      <c r="K70" s="24"/>
      <c r="L70" s="24"/>
      <c r="M70" s="24"/>
      <c r="N70" s="33"/>
      <c r="O70" s="32"/>
      <c r="P70" s="8"/>
    </row>
    <row r="71" spans="2:16" ht="42.75" x14ac:dyDescent="0.2">
      <c r="H71" s="9" t="s">
        <v>52</v>
      </c>
      <c r="I71" s="10" t="s">
        <v>53</v>
      </c>
      <c r="J71" s="11" t="s">
        <v>54</v>
      </c>
      <c r="K71" s="12" t="s">
        <v>55</v>
      </c>
      <c r="L71" s="12" t="s">
        <v>56</v>
      </c>
      <c r="M71" s="12" t="s">
        <v>57</v>
      </c>
      <c r="N71" s="11" t="s">
        <v>58</v>
      </c>
      <c r="O71" s="11" t="s">
        <v>63</v>
      </c>
      <c r="P71" s="8"/>
    </row>
    <row r="72" spans="2:16" ht="16.5" x14ac:dyDescent="0.2">
      <c r="H72" s="13" t="s">
        <v>59</v>
      </c>
      <c r="I72" s="14" t="s">
        <v>60</v>
      </c>
      <c r="J72" s="15" t="s">
        <v>61</v>
      </c>
      <c r="K72" s="16" t="s">
        <v>62</v>
      </c>
      <c r="L72" s="16" t="s">
        <v>61</v>
      </c>
      <c r="M72" s="16" t="s">
        <v>62</v>
      </c>
      <c r="N72" s="15" t="s">
        <v>61</v>
      </c>
      <c r="O72" s="16" t="s">
        <v>62</v>
      </c>
      <c r="P72" s="8">
        <v>0</v>
      </c>
    </row>
    <row r="73" spans="2:16" ht="17.25" x14ac:dyDescent="0.2">
      <c r="H73" s="2" t="s">
        <v>12</v>
      </c>
      <c r="I73" s="14">
        <f>I55</f>
        <v>1.1302769335639227</v>
      </c>
      <c r="J73" s="14">
        <f t="shared" ref="J73:J96" si="6">$C$11*I73*$C$12/5/60</f>
        <v>36.484209138509854</v>
      </c>
      <c r="K73" s="14">
        <f>J73*5*60/1000</f>
        <v>10.945262741552957</v>
      </c>
      <c r="L73" s="14">
        <f t="shared" ref="L73:L96" si="7">$C$11*I73*$C$13/5/60</f>
        <v>30.403507615424882</v>
      </c>
      <c r="M73" s="14">
        <f>L73*5*60/1000</f>
        <v>9.1210522846274653</v>
      </c>
      <c r="N73" s="14">
        <f>O73/5/60*1000</f>
        <v>0</v>
      </c>
      <c r="O73" s="18">
        <f t="shared" ref="O73:O96" si="8">IF(M73&lt;$C$14,0,M73-$C$14)</f>
        <v>0</v>
      </c>
      <c r="P73" s="8">
        <v>5</v>
      </c>
    </row>
    <row r="74" spans="2:16" ht="17.25" x14ac:dyDescent="0.2">
      <c r="H74" s="2" t="s">
        <v>21</v>
      </c>
      <c r="I74" s="14">
        <f t="shared" ref="I74:I84" si="9">I56</f>
        <v>2.8283164456519043</v>
      </c>
      <c r="J74" s="14">
        <f t="shared" si="6"/>
        <v>91.295226549197821</v>
      </c>
      <c r="K74" s="14">
        <f>K73+J74*5*60/1000</f>
        <v>38.333830706312305</v>
      </c>
      <c r="L74" s="14">
        <f t="shared" si="7"/>
        <v>76.079355457664846</v>
      </c>
      <c r="M74" s="14">
        <f>M73+L74*5*60/1000</f>
        <v>31.944858921926922</v>
      </c>
      <c r="N74" s="14">
        <f>(O74-O73)/5/60*1000</f>
        <v>0</v>
      </c>
      <c r="O74" s="18">
        <f t="shared" si="8"/>
        <v>0</v>
      </c>
      <c r="P74" s="8">
        <v>10</v>
      </c>
    </row>
    <row r="75" spans="2:16" ht="17.25" x14ac:dyDescent="0.2">
      <c r="H75" s="2" t="s">
        <v>22</v>
      </c>
      <c r="I75" s="14">
        <f t="shared" si="9"/>
        <v>4.8490451940110084</v>
      </c>
      <c r="J75" s="14">
        <f t="shared" si="6"/>
        <v>156.52232981748136</v>
      </c>
      <c r="K75" s="14">
        <f t="shared" ref="K75:K96" si="10">K74+J75*5*60/1000</f>
        <v>85.29052965155671</v>
      </c>
      <c r="L75" s="14">
        <f t="shared" si="7"/>
        <v>130.4352748479011</v>
      </c>
      <c r="M75" s="14">
        <f t="shared" ref="M75:M96" si="11">M74+L75*5*60/1000</f>
        <v>71.075441376297249</v>
      </c>
      <c r="N75" s="14">
        <f t="shared" ref="N75:N96" si="12">(O75-O74)/5/60*1000</f>
        <v>0</v>
      </c>
      <c r="O75" s="18">
        <f t="shared" si="8"/>
        <v>0</v>
      </c>
      <c r="P75" s="8">
        <v>15</v>
      </c>
    </row>
    <row r="76" spans="2:16" ht="17.25" x14ac:dyDescent="0.2">
      <c r="H76" s="2" t="s">
        <v>23</v>
      </c>
      <c r="I76" s="14">
        <f t="shared" si="9"/>
        <v>10.818941488926709</v>
      </c>
      <c r="J76" s="14">
        <f t="shared" si="6"/>
        <v>349.22461232106519</v>
      </c>
      <c r="K76" s="14">
        <f t="shared" si="10"/>
        <v>190.05791334787628</v>
      </c>
      <c r="L76" s="14">
        <f t="shared" si="7"/>
        <v>291.02051026755436</v>
      </c>
      <c r="M76" s="14">
        <f t="shared" si="11"/>
        <v>158.38159445656356</v>
      </c>
      <c r="N76" s="14">
        <f t="shared" si="12"/>
        <v>0</v>
      </c>
      <c r="O76" s="18">
        <f t="shared" si="8"/>
        <v>0</v>
      </c>
      <c r="P76" s="8">
        <v>20</v>
      </c>
    </row>
    <row r="77" spans="2:16" ht="17.25" x14ac:dyDescent="0.2">
      <c r="H77" s="2" t="s">
        <v>24</v>
      </c>
      <c r="I77" s="14">
        <f t="shared" si="9"/>
        <v>5.5410237882281361</v>
      </c>
      <c r="J77" s="14">
        <f t="shared" si="6"/>
        <v>178.85870686021602</v>
      </c>
      <c r="K77" s="14">
        <f t="shared" si="10"/>
        <v>243.71552540594109</v>
      </c>
      <c r="L77" s="14">
        <f t="shared" si="7"/>
        <v>149.04892238351334</v>
      </c>
      <c r="M77" s="14">
        <f t="shared" si="11"/>
        <v>203.09627117161756</v>
      </c>
      <c r="N77" s="14">
        <f t="shared" si="12"/>
        <v>0</v>
      </c>
      <c r="O77" s="18">
        <f t="shared" si="8"/>
        <v>0</v>
      </c>
      <c r="P77" s="8">
        <v>25</v>
      </c>
    </row>
    <row r="78" spans="2:16" ht="17.25" x14ac:dyDescent="0.2">
      <c r="H78" s="2" t="s">
        <v>25</v>
      </c>
      <c r="I78" s="14">
        <f t="shared" si="9"/>
        <v>2.4620391332142431</v>
      </c>
      <c r="J78" s="14">
        <f t="shared" si="6"/>
        <v>79.472161181022557</v>
      </c>
      <c r="K78" s="14">
        <f t="shared" si="10"/>
        <v>267.55717376024785</v>
      </c>
      <c r="L78" s="14">
        <f t="shared" si="7"/>
        <v>66.226800984185459</v>
      </c>
      <c r="M78" s="14">
        <f t="shared" si="11"/>
        <v>222.9643114668732</v>
      </c>
      <c r="N78" s="14">
        <f t="shared" si="12"/>
        <v>0</v>
      </c>
      <c r="O78" s="18">
        <f t="shared" si="8"/>
        <v>0</v>
      </c>
      <c r="P78" s="8">
        <v>30</v>
      </c>
    </row>
    <row r="79" spans="2:16" ht="17.25" x14ac:dyDescent="0.2">
      <c r="H79" s="2" t="s">
        <v>26</v>
      </c>
      <c r="I79" s="14">
        <f t="shared" si="9"/>
        <v>1.8356621728393314</v>
      </c>
      <c r="J79" s="14">
        <f t="shared" si="6"/>
        <v>59.253339277080791</v>
      </c>
      <c r="K79" s="14">
        <f t="shared" si="10"/>
        <v>285.33317554337208</v>
      </c>
      <c r="L79" s="14">
        <f t="shared" si="7"/>
        <v>49.377782730900655</v>
      </c>
      <c r="M79" s="14">
        <f t="shared" si="11"/>
        <v>237.77764628614341</v>
      </c>
      <c r="N79" s="14">
        <f t="shared" si="12"/>
        <v>0</v>
      </c>
      <c r="O79" s="18">
        <f t="shared" si="8"/>
        <v>0</v>
      </c>
      <c r="P79" s="8">
        <v>35</v>
      </c>
    </row>
    <row r="80" spans="2:16" ht="17.25" x14ac:dyDescent="0.2">
      <c r="H80" s="2" t="s">
        <v>27</v>
      </c>
      <c r="I80" s="14">
        <f t="shared" si="9"/>
        <v>1.9248280452771755</v>
      </c>
      <c r="J80" s="14">
        <f t="shared" si="6"/>
        <v>62.131524473501948</v>
      </c>
      <c r="K80" s="14">
        <f t="shared" si="10"/>
        <v>303.97263288542268</v>
      </c>
      <c r="L80" s="14">
        <f t="shared" si="7"/>
        <v>51.776270394584948</v>
      </c>
      <c r="M80" s="14">
        <f t="shared" si="11"/>
        <v>253.31052740451889</v>
      </c>
      <c r="N80" s="14">
        <f t="shared" si="12"/>
        <v>0</v>
      </c>
      <c r="O80" s="18">
        <f t="shared" si="8"/>
        <v>0</v>
      </c>
      <c r="P80" s="8">
        <v>40</v>
      </c>
    </row>
    <row r="81" spans="8:16" ht="17.25" x14ac:dyDescent="0.2">
      <c r="H81" s="2" t="s">
        <v>28</v>
      </c>
      <c r="I81" s="14">
        <f t="shared" si="9"/>
        <v>0.80342662194608638</v>
      </c>
      <c r="J81" s="14">
        <f t="shared" si="6"/>
        <v>25.93380792979772</v>
      </c>
      <c r="K81" s="14">
        <f t="shared" si="10"/>
        <v>311.75277526436201</v>
      </c>
      <c r="L81" s="14">
        <f t="shared" si="7"/>
        <v>21.611506608164767</v>
      </c>
      <c r="M81" s="14">
        <f t="shared" si="11"/>
        <v>259.79397938696832</v>
      </c>
      <c r="N81" s="14">
        <f t="shared" si="12"/>
        <v>0</v>
      </c>
      <c r="O81" s="18">
        <f t="shared" si="8"/>
        <v>0</v>
      </c>
      <c r="P81" s="8">
        <v>45</v>
      </c>
    </row>
    <row r="82" spans="8:16" ht="17.25" x14ac:dyDescent="0.2">
      <c r="H82" s="2" t="s">
        <v>29</v>
      </c>
      <c r="I82" s="14">
        <f t="shared" si="9"/>
        <v>1.0371401886081748</v>
      </c>
      <c r="J82" s="14">
        <f t="shared" si="6"/>
        <v>33.477848148083275</v>
      </c>
      <c r="K82" s="14">
        <f t="shared" si="10"/>
        <v>321.79612970878702</v>
      </c>
      <c r="L82" s="14">
        <f t="shared" si="7"/>
        <v>27.898206790069398</v>
      </c>
      <c r="M82" s="14">
        <f t="shared" si="11"/>
        <v>268.16344142398913</v>
      </c>
      <c r="N82" s="14">
        <f t="shared" si="12"/>
        <v>13.578138079963839</v>
      </c>
      <c r="O82" s="18">
        <f t="shared" si="8"/>
        <v>4.0734414239891521</v>
      </c>
      <c r="P82" s="8">
        <v>50</v>
      </c>
    </row>
    <row r="83" spans="8:16" ht="17.25" x14ac:dyDescent="0.2">
      <c r="H83" s="2" t="s">
        <v>30</v>
      </c>
      <c r="I83" s="14">
        <f t="shared" si="9"/>
        <v>0.77848723567151878</v>
      </c>
      <c r="J83" s="14">
        <f t="shared" si="6"/>
        <v>25.128789480240957</v>
      </c>
      <c r="K83" s="14">
        <f t="shared" si="10"/>
        <v>329.33476655285932</v>
      </c>
      <c r="L83" s="14">
        <f t="shared" si="7"/>
        <v>20.940657900200794</v>
      </c>
      <c r="M83" s="14">
        <f t="shared" si="11"/>
        <v>274.44563879404939</v>
      </c>
      <c r="N83" s="14">
        <f t="shared" si="12"/>
        <v>20.940657900200868</v>
      </c>
      <c r="O83" s="18">
        <f t="shared" si="8"/>
        <v>10.355638794049412</v>
      </c>
      <c r="P83" s="8">
        <v>55</v>
      </c>
    </row>
    <row r="84" spans="8:16" ht="17.25" x14ac:dyDescent="0.2">
      <c r="H84" s="2" t="s">
        <v>31</v>
      </c>
      <c r="I84" s="14">
        <f t="shared" si="9"/>
        <v>0.71274943727119555</v>
      </c>
      <c r="J84" s="14">
        <f t="shared" si="6"/>
        <v>23.006839085676923</v>
      </c>
      <c r="K84" s="14">
        <f t="shared" si="10"/>
        <v>336.2368182785624</v>
      </c>
      <c r="L84" s="14">
        <f t="shared" si="7"/>
        <v>19.172365904730768</v>
      </c>
      <c r="M84" s="14">
        <f t="shared" si="11"/>
        <v>280.19734856546864</v>
      </c>
      <c r="N84" s="14">
        <f t="shared" si="12"/>
        <v>19.17236590473086</v>
      </c>
      <c r="O84" s="18">
        <f t="shared" si="8"/>
        <v>16.107348565468669</v>
      </c>
      <c r="P84" s="8">
        <v>60</v>
      </c>
    </row>
    <row r="85" spans="8:16" ht="17.25" x14ac:dyDescent="0.2">
      <c r="H85" s="2" t="s">
        <v>32</v>
      </c>
      <c r="I85" s="14">
        <f>K55</f>
        <v>0.57141845250462586</v>
      </c>
      <c r="J85" s="14">
        <f t="shared" si="6"/>
        <v>18.444816228396817</v>
      </c>
      <c r="K85" s="14">
        <f t="shared" si="10"/>
        <v>341.77026314708144</v>
      </c>
      <c r="L85" s="14">
        <f t="shared" si="7"/>
        <v>15.370680190330683</v>
      </c>
      <c r="M85" s="14">
        <f t="shared" si="11"/>
        <v>284.80855262256784</v>
      </c>
      <c r="N85" s="14">
        <f t="shared" si="12"/>
        <v>15.370680190330669</v>
      </c>
      <c r="O85" s="18">
        <f t="shared" si="8"/>
        <v>20.71855262256787</v>
      </c>
      <c r="P85" s="8">
        <v>65</v>
      </c>
    </row>
    <row r="86" spans="8:16" ht="17.25" x14ac:dyDescent="0.2">
      <c r="H86" s="2" t="s">
        <v>33</v>
      </c>
      <c r="I86" s="14">
        <f t="shared" ref="I86:I96" si="13">K56</f>
        <v>0.49118503965294896</v>
      </c>
      <c r="J86" s="14">
        <f t="shared" si="6"/>
        <v>15.854961894957542</v>
      </c>
      <c r="K86" s="14">
        <f t="shared" si="10"/>
        <v>346.52675171556871</v>
      </c>
      <c r="L86" s="14">
        <f t="shared" si="7"/>
        <v>13.212468245797949</v>
      </c>
      <c r="M86" s="14">
        <f t="shared" si="11"/>
        <v>288.77229309630724</v>
      </c>
      <c r="N86" s="14">
        <f t="shared" si="12"/>
        <v>13.212468245797973</v>
      </c>
      <c r="O86" s="18">
        <f t="shared" si="8"/>
        <v>24.682293096307262</v>
      </c>
      <c r="P86" s="8">
        <v>70</v>
      </c>
    </row>
    <row r="87" spans="8:16" ht="17.25" x14ac:dyDescent="0.2">
      <c r="H87" s="2" t="s">
        <v>41</v>
      </c>
      <c r="I87" s="14">
        <f t="shared" si="13"/>
        <v>0.62360278606669217</v>
      </c>
      <c r="J87" s="14">
        <f t="shared" si="6"/>
        <v>20.129274331446755</v>
      </c>
      <c r="K87" s="14">
        <f t="shared" si="10"/>
        <v>352.56553401500275</v>
      </c>
      <c r="L87" s="14">
        <f t="shared" si="7"/>
        <v>16.774395276205627</v>
      </c>
      <c r="M87" s="14">
        <f t="shared" si="11"/>
        <v>293.80461167916894</v>
      </c>
      <c r="N87" s="14">
        <f t="shared" si="12"/>
        <v>16.774395276205684</v>
      </c>
      <c r="O87" s="18">
        <f t="shared" si="8"/>
        <v>29.714611679168968</v>
      </c>
      <c r="P87" s="8">
        <v>75</v>
      </c>
    </row>
    <row r="88" spans="8:16" ht="17.25" x14ac:dyDescent="0.2">
      <c r="H88" s="2" t="s">
        <v>42</v>
      </c>
      <c r="I88" s="14">
        <f t="shared" si="13"/>
        <v>0.8519092454007321</v>
      </c>
      <c r="J88" s="14">
        <f t="shared" si="6"/>
        <v>27.498778532290228</v>
      </c>
      <c r="K88" s="14">
        <f t="shared" si="10"/>
        <v>360.81516757468984</v>
      </c>
      <c r="L88" s="14">
        <f t="shared" si="7"/>
        <v>22.915648776908526</v>
      </c>
      <c r="M88" s="14">
        <f t="shared" si="11"/>
        <v>300.67930631224152</v>
      </c>
      <c r="N88" s="14">
        <f t="shared" si="12"/>
        <v>22.915648776908597</v>
      </c>
      <c r="O88" s="18">
        <f t="shared" si="8"/>
        <v>36.589306312241547</v>
      </c>
      <c r="P88" s="8">
        <v>80</v>
      </c>
    </row>
    <row r="89" spans="8:16" ht="17.25" x14ac:dyDescent="0.2">
      <c r="H89" s="2" t="s">
        <v>34</v>
      </c>
      <c r="I89" s="14">
        <f t="shared" si="13"/>
        <v>0.35648422864586532</v>
      </c>
      <c r="J89" s="14">
        <f t="shared" si="6"/>
        <v>11.506954416459887</v>
      </c>
      <c r="K89" s="14">
        <f t="shared" si="10"/>
        <v>364.2672538996278</v>
      </c>
      <c r="L89" s="14">
        <f t="shared" si="7"/>
        <v>9.5891286803832383</v>
      </c>
      <c r="M89" s="14">
        <f t="shared" si="11"/>
        <v>303.55604491635648</v>
      </c>
      <c r="N89" s="14">
        <f t="shared" si="12"/>
        <v>9.5891286803832063</v>
      </c>
      <c r="O89" s="18">
        <f t="shared" si="8"/>
        <v>39.466044916356509</v>
      </c>
      <c r="P89" s="8">
        <v>85</v>
      </c>
    </row>
    <row r="90" spans="8:16" ht="17.25" x14ac:dyDescent="0.2">
      <c r="H90" s="2" t="s">
        <v>35</v>
      </c>
      <c r="I90" s="14">
        <f t="shared" si="13"/>
        <v>0.3669210953582786</v>
      </c>
      <c r="J90" s="14">
        <f t="shared" si="6"/>
        <v>11.843846037069875</v>
      </c>
      <c r="K90" s="14">
        <f t="shared" si="10"/>
        <v>367.82040771074878</v>
      </c>
      <c r="L90" s="14">
        <f t="shared" si="7"/>
        <v>9.8698716975582297</v>
      </c>
      <c r="M90" s="14">
        <f t="shared" si="11"/>
        <v>306.51700642562395</v>
      </c>
      <c r="N90" s="14">
        <f t="shared" si="12"/>
        <v>9.8698716975582101</v>
      </c>
      <c r="O90" s="18">
        <f t="shared" si="8"/>
        <v>42.427006425623972</v>
      </c>
      <c r="P90" s="8">
        <v>90</v>
      </c>
    </row>
    <row r="91" spans="8:16" ht="17.25" x14ac:dyDescent="0.2">
      <c r="H91" s="2" t="s">
        <v>36</v>
      </c>
      <c r="I91" s="14">
        <f t="shared" si="13"/>
        <v>0.33952117193252906</v>
      </c>
      <c r="J91" s="14">
        <f t="shared" si="6"/>
        <v>10.959403908810108</v>
      </c>
      <c r="K91" s="14">
        <f t="shared" si="10"/>
        <v>371.1082288833918</v>
      </c>
      <c r="L91" s="14">
        <f t="shared" si="7"/>
        <v>9.1328365906750886</v>
      </c>
      <c r="M91" s="14">
        <f t="shared" si="11"/>
        <v>309.25685740282648</v>
      </c>
      <c r="N91" s="14">
        <f t="shared" si="12"/>
        <v>9.1328365906751223</v>
      </c>
      <c r="O91" s="18">
        <f t="shared" si="8"/>
        <v>45.166857402826508</v>
      </c>
      <c r="P91" s="8">
        <v>95</v>
      </c>
    </row>
    <row r="92" spans="8:16" ht="17.25" x14ac:dyDescent="0.2">
      <c r="H92" s="2" t="s">
        <v>37</v>
      </c>
      <c r="I92" s="14">
        <f t="shared" si="13"/>
        <v>0.31493661766026104</v>
      </c>
      <c r="J92" s="14">
        <f t="shared" si="6"/>
        <v>10.165839081455568</v>
      </c>
      <c r="K92" s="14">
        <f t="shared" si="10"/>
        <v>374.15798060782845</v>
      </c>
      <c r="L92" s="14">
        <f t="shared" si="7"/>
        <v>8.4715325678796383</v>
      </c>
      <c r="M92" s="14">
        <f t="shared" si="11"/>
        <v>311.79831717319036</v>
      </c>
      <c r="N92" s="14">
        <f t="shared" si="12"/>
        <v>8.4715325678795743</v>
      </c>
      <c r="O92" s="18">
        <f t="shared" si="8"/>
        <v>47.70831717319038</v>
      </c>
      <c r="P92" s="8">
        <v>100</v>
      </c>
    </row>
    <row r="93" spans="8:16" ht="17.25" x14ac:dyDescent="0.2">
      <c r="H93" s="2" t="s">
        <v>38</v>
      </c>
      <c r="I93" s="14">
        <f t="shared" si="13"/>
        <v>0.35605216532250239</v>
      </c>
      <c r="J93" s="14">
        <f t="shared" si="6"/>
        <v>11.493007844445057</v>
      </c>
      <c r="K93" s="14">
        <f t="shared" si="10"/>
        <v>377.60588296116197</v>
      </c>
      <c r="L93" s="14">
        <f t="shared" si="7"/>
        <v>9.5775065370375465</v>
      </c>
      <c r="M93" s="14">
        <f t="shared" si="11"/>
        <v>314.67156913430159</v>
      </c>
      <c r="N93" s="14">
        <f t="shared" si="12"/>
        <v>9.5775065370374559</v>
      </c>
      <c r="O93" s="18">
        <f t="shared" si="8"/>
        <v>50.581569134301617</v>
      </c>
      <c r="P93" s="8">
        <v>105</v>
      </c>
    </row>
    <row r="94" spans="8:16" ht="17.25" x14ac:dyDescent="0.2">
      <c r="H94" s="2" t="s">
        <v>39</v>
      </c>
      <c r="I94" s="14">
        <f t="shared" si="13"/>
        <v>0.2941669080164484</v>
      </c>
      <c r="J94" s="14">
        <f t="shared" si="6"/>
        <v>9.4954136238629374</v>
      </c>
      <c r="K94" s="14">
        <f t="shared" si="10"/>
        <v>380.45450704832086</v>
      </c>
      <c r="L94" s="14">
        <f t="shared" si="7"/>
        <v>7.9128446865524484</v>
      </c>
      <c r="M94" s="14">
        <f t="shared" si="11"/>
        <v>317.04542254026734</v>
      </c>
      <c r="N94" s="14">
        <f t="shared" si="12"/>
        <v>7.9128446865524893</v>
      </c>
      <c r="O94" s="18">
        <f t="shared" si="8"/>
        <v>52.955422540267364</v>
      </c>
      <c r="P94" s="8">
        <v>110</v>
      </c>
    </row>
    <row r="95" spans="8:16" ht="17.25" x14ac:dyDescent="0.2">
      <c r="H95" s="2" t="s">
        <v>40</v>
      </c>
      <c r="I95" s="14">
        <f t="shared" si="13"/>
        <v>0.41836129425394031</v>
      </c>
      <c r="J95" s="14">
        <f t="shared" si="6"/>
        <v>13.504284217222938</v>
      </c>
      <c r="K95" s="14">
        <f t="shared" si="10"/>
        <v>384.50579231348775</v>
      </c>
      <c r="L95" s="14">
        <f t="shared" si="7"/>
        <v>11.253570181019116</v>
      </c>
      <c r="M95" s="14">
        <f t="shared" si="11"/>
        <v>320.42149359457306</v>
      </c>
      <c r="N95" s="14">
        <f t="shared" si="12"/>
        <v>11.253570181019086</v>
      </c>
      <c r="O95" s="18">
        <f t="shared" si="8"/>
        <v>56.331493594573089</v>
      </c>
      <c r="P95" s="8">
        <v>115</v>
      </c>
    </row>
    <row r="96" spans="8:16" ht="17.25" x14ac:dyDescent="0.2">
      <c r="H96" s="2" t="s">
        <v>43</v>
      </c>
      <c r="I96" s="14">
        <f t="shared" si="13"/>
        <v>0.39653190554666784</v>
      </c>
      <c r="J96" s="14">
        <f t="shared" si="6"/>
        <v>12.79965337914089</v>
      </c>
      <c r="K96" s="14">
        <f t="shared" si="10"/>
        <v>388.34568832722999</v>
      </c>
      <c r="L96" s="14">
        <f t="shared" si="7"/>
        <v>10.666377815950742</v>
      </c>
      <c r="M96" s="14">
        <f t="shared" si="11"/>
        <v>323.62140693935828</v>
      </c>
      <c r="N96" s="14">
        <f t="shared" si="12"/>
        <v>10.666377815950719</v>
      </c>
      <c r="O96" s="18">
        <f t="shared" si="8"/>
        <v>59.531406939358305</v>
      </c>
      <c r="P96" s="8">
        <v>120</v>
      </c>
    </row>
  </sheetData>
  <mergeCells count="18">
    <mergeCell ref="I7:P7"/>
    <mergeCell ref="I12:P12"/>
    <mergeCell ref="I17:P17"/>
    <mergeCell ref="J23:P23"/>
    <mergeCell ref="I23:I24"/>
    <mergeCell ref="B34:E60"/>
    <mergeCell ref="H70:O70"/>
    <mergeCell ref="B69:F69"/>
    <mergeCell ref="H23:H25"/>
    <mergeCell ref="H22:P22"/>
    <mergeCell ref="H52:K52"/>
    <mergeCell ref="H67:K67"/>
    <mergeCell ref="B18:D18"/>
    <mergeCell ref="B2:E2"/>
    <mergeCell ref="B3:E3"/>
    <mergeCell ref="B4:E4"/>
    <mergeCell ref="B33:E33"/>
    <mergeCell ref="B6:C6"/>
  </mergeCells>
  <phoneticPr fontId="1" type="noConversion"/>
  <conditionalFormatting sqref="C27">
    <cfRule type="cellIs" dxfId="1" priority="2" operator="greaterThan">
      <formula>0.4</formula>
    </cfRule>
  </conditionalFormatting>
  <conditionalFormatting sqref="C28">
    <cfRule type="cellIs" dxfId="0" priority="1" operator="lessThan">
      <formula>$C$9</formula>
    </cfRule>
  </conditionalFormatting>
  <hyperlinks>
    <hyperlink ref="B4:E4" r:id="rId1" display="访问 http://www.viviFree.com 获取更多软件" xr:uid="{59CE222C-FC53-4B2D-8C26-D97D87F3092A}"/>
  </hyperlinks>
  <pageMargins left="0.7" right="0.7" top="0.75" bottom="0.75" header="0.3" footer="0.3"/>
  <pageSetup paperSize="9" orientation="portrait" r:id="rId2"/>
  <ignoredErrors>
    <ignoredError sqref="L73:L96" formula="1"/>
  </ignoredErrors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36F27E-CE4E-4D87-A9E5-E7DFD9161811}">
          <x14:formula1>
            <xm:f>Sheet2!$A$2:$A$3</xm:f>
          </x14:formula1>
          <xm:sqref>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C236E-FF37-43FB-8709-4835311FFCB4}">
  <dimension ref="A2:A3"/>
  <sheetViews>
    <sheetView workbookViewId="0">
      <selection activeCell="M20" sqref="M20"/>
    </sheetView>
  </sheetViews>
  <sheetFormatPr defaultRowHeight="14.25" x14ac:dyDescent="0.2"/>
  <sheetData>
    <row r="2" spans="1:1" x14ac:dyDescent="0.2">
      <c r="A2" t="s">
        <v>50</v>
      </c>
    </row>
    <row r="3" spans="1:1" x14ac:dyDescent="0.2">
      <c r="A3" t="s">
        <v>51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www.viviFree.com</Company>
  <LinksUpToDate>false</LinksUpToDate>
  <SharedDoc>false</SharedDoc>
  <HyperlinkBase>www.viviFree.com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北京-外排雨水流量径流系数计算</dc:title>
  <dc:creator>Lenovo</dc:creator>
  <dc:description>访问www.viviFree.com获取更多
</dc:description>
  <cp:lastModifiedBy>Lenovo</cp:lastModifiedBy>
  <dcterms:created xsi:type="dcterms:W3CDTF">2024-05-14T13:11:48Z</dcterms:created>
  <dcterms:modified xsi:type="dcterms:W3CDTF">2024-05-15T09:33:01Z</dcterms:modified>
</cp:coreProperties>
</file>